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1"/>
  <workbookPr codeName="Denne_projektmappe" defaultThemeVersion="166925"/>
  <mc:AlternateContent xmlns:mc="http://schemas.openxmlformats.org/markup-compatibility/2006">
    <mc:Choice Requires="x15">
      <x15ac:absPath xmlns:x15ac="http://schemas.microsoft.com/office/spreadsheetml/2010/11/ac" url="/Users/brunosorensen/Dropbox/Min Mac (Brunos MacBook Pro)/Downloads/"/>
    </mc:Choice>
  </mc:AlternateContent>
  <xr:revisionPtr revIDLastSave="0" documentId="13_ncr:1_{B786E4AF-919D-AB4B-8AEC-6ABA49DA9F44}" xr6:coauthVersionLast="47" xr6:coauthVersionMax="47" xr10:uidLastSave="{00000000-0000-0000-0000-000000000000}"/>
  <bookViews>
    <workbookView minimized="1" xWindow="580" yWindow="500" windowWidth="20120" windowHeight="14480" tabRatio="783" xr2:uid="{9B95B01D-1D18-4ECD-9C13-04A6F9AFCFF6}"/>
  </bookViews>
  <sheets>
    <sheet name="bagerkokken poolish" sheetId="16" r:id="rId1"/>
    <sheet name="Vito poolish" sheetId="11" r:id="rId2"/>
    <sheet name="Napoli" sheetId="4" r:id="rId3"/>
    <sheet name="Same day dough" sheetId="7" r:id="rId4"/>
    <sheet name="Diverse" sheetId="9" r:id="rId5"/>
    <sheet name="Tomatsauce" sheetId="5" r:id="rId6"/>
    <sheet name="Chili" sheetId="14" r:id="rId7"/>
    <sheet name="Biga" sheetId="3" state="hidden" r:id="rId8"/>
    <sheet name="Toppings" sheetId="6" r:id="rId9"/>
    <sheet name="Change log" sheetId="17" r:id="rId10"/>
    <sheet name="Bakers Yeast" sheetId="12" state="hidden" r:id="rId11"/>
    <sheet name="Sourdough" sheetId="13" state="hidden" r:id="rId12"/>
    <sheet name="Tips" sheetId="2" state="hidden" r:id="rId13"/>
  </sheets>
  <definedNames>
    <definedName name="_xlnm._FilterDatabase" localSheetId="0" hidden="1">'bagerkokken poolish'!$C$19:$E$22</definedName>
    <definedName name="_xlnm._FilterDatabase" localSheetId="1" hidden="1">'Vito poolish'!$C$30:$E$33</definedName>
    <definedName name="_xlnm.Print_Area" localSheetId="0">'bagerkokken poolish'!$B$1:$N$60</definedName>
    <definedName name="_xlnm.Print_Area" localSheetId="6">Chili!$B$9:$O$52</definedName>
    <definedName name="_xlnm.Print_Area" localSheetId="2">Napoli!$B$8:$N$40</definedName>
    <definedName name="_xlnm.Print_Area" localSheetId="3">'Same day dough'!$A$8:$J$35</definedName>
    <definedName name="_xlnm.Print_Area" localSheetId="5">Tomatsauce!$B$1:$K$34,Tomatsauce!$B$39:$K$69</definedName>
    <definedName name="_xlnm.Print_Area" localSheetId="8">Toppings!$B:$P</definedName>
    <definedName name="_xlnm.Print_Area" localSheetId="1">'Vito poolish'!$C$31:$M$72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K27" i="16" l="1"/>
  <c r="R31" i="16"/>
  <c r="B57" i="16"/>
  <c r="B40" i="16"/>
  <c r="B33" i="16"/>
  <c r="D57" i="16"/>
  <c r="D40" i="16" s="1"/>
  <c r="D33" i="16" s="1"/>
  <c r="E57" i="16"/>
  <c r="E40" i="16"/>
  <c r="E33" i="16"/>
  <c r="D43" i="16"/>
  <c r="D52" i="16"/>
  <c r="L25" i="16"/>
  <c r="K25" i="16"/>
  <c r="L44" i="16" s="1"/>
  <c r="G14" i="16"/>
  <c r="C24" i="16"/>
  <c r="C22" i="16"/>
  <c r="K14" i="16"/>
  <c r="E14" i="16"/>
  <c r="E13" i="16"/>
  <c r="E12" i="16"/>
  <c r="G57" i="16" l="1"/>
  <c r="H40" i="16"/>
  <c r="H33" i="16"/>
  <c r="K15" i="16"/>
  <c r="E15" i="16"/>
  <c r="C35" i="11"/>
  <c r="G21" i="16" l="1"/>
  <c r="L36" i="16" s="1"/>
  <c r="K21" i="16"/>
  <c r="G23" i="16"/>
  <c r="G22" i="16"/>
  <c r="C69" i="11"/>
  <c r="C68" i="11"/>
  <c r="C67" i="11"/>
  <c r="C64" i="11"/>
  <c r="V68" i="11"/>
  <c r="C63" i="11"/>
  <c r="C59" i="11"/>
  <c r="Q61" i="11"/>
  <c r="P61" i="11"/>
  <c r="P71" i="11"/>
  <c r="P70" i="11"/>
  <c r="P69" i="11"/>
  <c r="P67" i="11"/>
  <c r="P65" i="11"/>
  <c r="P64" i="11"/>
  <c r="P63" i="11"/>
  <c r="P72" i="11"/>
  <c r="Q72" i="11"/>
  <c r="Q71" i="11"/>
  <c r="Q70" i="11"/>
  <c r="Q69" i="11"/>
  <c r="Q65" i="11"/>
  <c r="Q64" i="11"/>
  <c r="Q63" i="11"/>
  <c r="Q59" i="11"/>
  <c r="Q58" i="11"/>
  <c r="Q56" i="11"/>
  <c r="Q55" i="11"/>
  <c r="P59" i="11"/>
  <c r="P58" i="11"/>
  <c r="P56" i="11"/>
  <c r="P55" i="11"/>
  <c r="P54" i="11"/>
  <c r="Q54" i="11"/>
  <c r="Q50" i="11"/>
  <c r="Q49" i="11"/>
  <c r="P50" i="11"/>
  <c r="P49" i="11"/>
  <c r="P46" i="11"/>
  <c r="Q46" i="11"/>
  <c r="Q48" i="11"/>
  <c r="Q47" i="11"/>
  <c r="A6" i="13"/>
  <c r="A7" i="13"/>
  <c r="A8" i="13"/>
  <c r="A9" i="13"/>
  <c r="A10" i="13"/>
  <c r="A11" i="13"/>
  <c r="A12" i="13"/>
  <c r="A13" i="13"/>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6" i="12"/>
  <c r="A7" i="12"/>
  <c r="A8" i="12"/>
  <c r="A9" i="12"/>
  <c r="A10" i="12"/>
  <c r="A11" i="12"/>
  <c r="A12" i="12"/>
  <c r="A13" i="12"/>
  <c r="A14" i="12"/>
  <c r="A15" i="12"/>
  <c r="A16" i="12"/>
  <c r="A17" i="12"/>
  <c r="A18" i="12"/>
  <c r="A19" i="12"/>
  <c r="A20" i="12"/>
  <c r="A21" i="12"/>
  <c r="A22" i="12"/>
  <c r="A23" i="12"/>
  <c r="A24" i="12"/>
  <c r="A25" i="12"/>
  <c r="A26" i="12"/>
  <c r="A27" i="12"/>
  <c r="A28" i="12"/>
  <c r="A29" i="12"/>
  <c r="A30" i="12"/>
  <c r="A31" i="12"/>
  <c r="A32" i="12"/>
  <c r="A33" i="12"/>
  <c r="A34" i="12"/>
  <c r="A35" i="12"/>
  <c r="A36" i="12"/>
  <c r="A37" i="12"/>
  <c r="A38" i="12"/>
  <c r="A39" i="12"/>
  <c r="A40" i="12"/>
  <c r="A41" i="12"/>
  <c r="A42" i="12"/>
  <c r="A43" i="12"/>
  <c r="A44" i="12"/>
  <c r="A45" i="12"/>
  <c r="A46" i="12"/>
  <c r="A47" i="12"/>
  <c r="A48" i="12"/>
  <c r="A49" i="12"/>
  <c r="A50" i="12"/>
  <c r="A51" i="12"/>
  <c r="A52" i="12"/>
  <c r="A53" i="12"/>
  <c r="A54" i="12"/>
  <c r="A55" i="12"/>
  <c r="A56" i="12"/>
  <c r="A57" i="12"/>
  <c r="A58" i="12"/>
  <c r="A59" i="12"/>
  <c r="A60" i="12"/>
  <c r="A61" i="12"/>
  <c r="A62" i="12"/>
  <c r="A63" i="12"/>
  <c r="A64" i="12"/>
  <c r="A65" i="12"/>
  <c r="A66" i="12"/>
  <c r="G37" i="11"/>
  <c r="G39" i="11"/>
  <c r="P48" i="11"/>
  <c r="P47" i="11"/>
  <c r="Q43" i="11"/>
  <c r="Y68" i="11"/>
  <c r="Q67" i="11" s="1"/>
  <c r="E52" i="11"/>
  <c r="U68" i="11"/>
  <c r="T68" i="11"/>
  <c r="X68" i="11"/>
  <c r="H32" i="11"/>
  <c r="L32" i="11" s="1"/>
  <c r="W68" i="11"/>
  <c r="K14" i="11"/>
  <c r="G14" i="11"/>
  <c r="E14" i="11"/>
  <c r="M13" i="11"/>
  <c r="E13" i="11"/>
  <c r="I12" i="11"/>
  <c r="E12" i="11"/>
  <c r="C33" i="4"/>
  <c r="B13" i="7"/>
  <c r="C31" i="7"/>
  <c r="I18" i="7"/>
  <c r="B21" i="7"/>
  <c r="H15" i="7" s="1"/>
  <c r="F17" i="7"/>
  <c r="L35" i="16" l="1"/>
  <c r="H14" i="11"/>
  <c r="C12" i="11"/>
  <c r="K15" i="11"/>
  <c r="K24" i="16"/>
  <c r="M20" i="16"/>
  <c r="K22" i="16"/>
  <c r="L43" i="16" s="1"/>
  <c r="K23" i="16"/>
  <c r="L47" i="16" s="1"/>
  <c r="I20" i="16"/>
  <c r="P68" i="11"/>
  <c r="D70" i="11"/>
  <c r="D69" i="11"/>
  <c r="D71" i="11"/>
  <c r="C71" i="11" s="1"/>
  <c r="Q68" i="11"/>
  <c r="D50" i="11"/>
  <c r="D63" i="11"/>
  <c r="D64" i="11"/>
  <c r="D61" i="11"/>
  <c r="D72" i="11"/>
  <c r="D46" i="11"/>
  <c r="D65" i="11"/>
  <c r="D67" i="11"/>
  <c r="D54" i="11"/>
  <c r="D49" i="11"/>
  <c r="D55" i="11"/>
  <c r="D56" i="11"/>
  <c r="D47" i="11"/>
  <c r="D58" i="11"/>
  <c r="D48" i="11"/>
  <c r="D59" i="11"/>
  <c r="E15" i="11"/>
  <c r="G32" i="11" s="1"/>
  <c r="H18" i="7"/>
  <c r="H17" i="7"/>
  <c r="H27" i="7" s="1"/>
  <c r="H14" i="7"/>
  <c r="H20" i="7"/>
  <c r="H19" i="7"/>
  <c r="H28" i="7" s="1"/>
  <c r="H16" i="7"/>
  <c r="D68" i="11" l="1"/>
  <c r="G34" i="11"/>
  <c r="H34" i="11" s="1"/>
  <c r="G35" i="11"/>
  <c r="K32" i="11"/>
  <c r="I31" i="11" s="1"/>
  <c r="G33" i="11"/>
  <c r="L47" i="11"/>
  <c r="L48" i="11" s="1"/>
  <c r="H26" i="7"/>
  <c r="H21" i="7"/>
  <c r="K34" i="11" l="1"/>
  <c r="L56" i="11" s="1"/>
  <c r="G36" i="11"/>
  <c r="L46" i="11"/>
  <c r="M31" i="11"/>
  <c r="K35" i="11"/>
  <c r="K33" i="11"/>
  <c r="L55" i="11" s="1"/>
  <c r="I15" i="4"/>
  <c r="B14" i="4"/>
  <c r="E34" i="11" l="1"/>
  <c r="C33" i="11" s="1"/>
  <c r="K36" i="11"/>
  <c r="L36" i="11"/>
  <c r="F12" i="4"/>
  <c r="B16" i="4" l="1"/>
  <c r="B15" i="4"/>
  <c r="K16" i="4" l="1"/>
  <c r="L25" i="4" s="1"/>
  <c r="K15" i="4"/>
  <c r="K14" i="4"/>
  <c r="D12" i="4"/>
  <c r="K13" i="4"/>
  <c r="L22" i="4" s="1"/>
  <c r="L24" i="4" l="1"/>
  <c r="G26" i="16"/>
  <c r="K26" i="16" l="1"/>
  <c r="E23" i="16"/>
</calcChain>
</file>

<file path=xl/sharedStrings.xml><?xml version="1.0" encoding="utf-8"?>
<sst xmlns="http://schemas.openxmlformats.org/spreadsheetml/2006/main" count="631" uniqueCount="412">
  <si>
    <t>Dag 1</t>
  </si>
  <si>
    <t>Gær og honning røres ud i vandet.</t>
  </si>
  <si>
    <t>Tilsæt resten af melet og rør godt sammen.</t>
  </si>
  <si>
    <t>•</t>
  </si>
  <si>
    <t>Dag 2</t>
  </si>
  <si>
    <t>Poolish'en røres ud i vandet, hvorefter halvdelen af melet tilsættes og blandes.</t>
  </si>
  <si>
    <t xml:space="preserve">Beregninger på baggrund af </t>
  </si>
  <si>
    <t>https://ggalmazor.github.io/bread_making/poolish_recipe_calculator.html</t>
  </si>
  <si>
    <t>Antal pizzaer</t>
  </si>
  <si>
    <t>Dej pr. pizza</t>
  </si>
  <si>
    <t>Total dej g.</t>
  </si>
  <si>
    <t>Opskrift</t>
  </si>
  <si>
    <t>Tilsæt halvdelen af melet og rør godt sammen.</t>
  </si>
  <si>
    <r>
      <t>Poolish</t>
    </r>
    <r>
      <rPr>
        <sz val="11"/>
        <color theme="1"/>
        <rFont val="Calibri"/>
        <family val="2"/>
        <scheme val="minor"/>
      </rPr>
      <t xml:space="preserve">     </t>
    </r>
    <r>
      <rPr>
        <i/>
        <sz val="11"/>
        <color theme="1"/>
        <rFont val="Calibri"/>
        <family val="2"/>
        <scheme val="minor"/>
      </rPr>
      <t>(A poolish is a wet (between 100% and 125% of hydration) preferment prepared at room temperature)</t>
    </r>
  </si>
  <si>
    <t>g mel tipo 00</t>
  </si>
  <si>
    <t>g havsalt</t>
  </si>
  <si>
    <t>g honning</t>
  </si>
  <si>
    <t>total flour = desired dough / (1 + hydration percentage)</t>
  </si>
  <si>
    <t>total water = desired dough - total flour</t>
  </si>
  <si>
    <t>poolish flour = total flour * poolish percentage</t>
  </si>
  <si>
    <t>poolish water = poolish flour * poolish hydration percentage</t>
  </si>
  <si>
    <t>poolish yeast = poolish flour * poolish yeast percentage</t>
  </si>
  <si>
    <t>rest of flour = total flour - poolish flour</t>
  </si>
  <si>
    <t>rest of water = total water - poolish water</t>
  </si>
  <si>
    <t>rest of yeast = total flour - rest of dough yeast percentage</t>
  </si>
  <si>
    <t>salt = total flour * salt percentage</t>
  </si>
  <si>
    <t>Smør en skål med olivenolie (for at dejen ikke klistrer fast) og placer dejen heri (stadig med oversiden op).</t>
  </si>
  <si>
    <t>Gentag indtil overfladen virker jævn. Husk at få "lukket" i bunden af dejen.</t>
  </si>
  <si>
    <t>Klap dejkuglerne med olie på hænderne og placer dem i en hævekasse eller bradepande.</t>
  </si>
  <si>
    <t>Dejklumperne skal nu strammes op til kugler ved at folde oversiden ind i bunden af dejen.</t>
  </si>
  <si>
    <t>Tilsæt salt og resten af melet og ælt dejen godt.</t>
  </si>
  <si>
    <t>Din skalering</t>
  </si>
  <si>
    <t>Når dine flotte pizzaboller har hævet i 4 timer, så undgå for alt i verden at "bolle dem op" igen - jo mere du arbejder med dejen, jo mere aktiverer du glutenstrukturen i dejen igen - det betyder, at din pizza skrumper sammen til underkops' størrelse. </t>
  </si>
  <si>
    <t>Ingredienser</t>
  </si>
  <si>
    <t>g salt</t>
  </si>
  <si>
    <t>Total dej</t>
  </si>
  <si>
    <t>Skalerede ingredienser</t>
  </si>
  <si>
    <t>Tilføj gær.</t>
  </si>
  <si>
    <t>Tilføj salt og resten af vandet. Rør salten godt ud.</t>
  </si>
  <si>
    <t>Hvile i 10 min.</t>
  </si>
  <si>
    <r>
      <t xml:space="preserve">Dag 3-5 </t>
    </r>
    <r>
      <rPr>
        <i/>
        <sz val="11"/>
        <color theme="1"/>
        <rFont val="Calibri"/>
        <family val="2"/>
        <scheme val="minor"/>
      </rPr>
      <t>(afhængig af hvor lang du lader dejen hvile)</t>
    </r>
  </si>
  <si>
    <r>
      <t xml:space="preserve">Tag dejen ud af køl </t>
    </r>
    <r>
      <rPr>
        <b/>
        <sz val="11"/>
        <color theme="1"/>
        <rFont val="Calibri"/>
        <family val="2"/>
        <scheme val="minor"/>
      </rPr>
      <t>3-4 timer før brug</t>
    </r>
    <r>
      <rPr>
        <sz val="11"/>
        <color theme="1"/>
        <rFont val="Calibri"/>
        <family val="2"/>
        <scheme val="minor"/>
      </rPr>
      <t xml:space="preserve"> - så tempererer dejen og bliver nemmere at arbejde med.</t>
    </r>
  </si>
  <si>
    <t xml:space="preserve"> g salt</t>
  </si>
  <si>
    <t xml:space="preserve"> g tipo 00 (til lang hævetid)</t>
  </si>
  <si>
    <t>Brug surdej (der giver smag)</t>
  </si>
  <si>
    <t>Brug tørgær (for det mest stabile resultat)</t>
  </si>
  <si>
    <t>Brug mel med så højt proteinindhold som muligt (f.eks. Manitoba ellerrød Caputo). Det hæver bedst. Husk lang hævetid! 24 timer på køl, 24 timer ved stuetemperatur, form til boller, spænd dem op og giv 24 timer mere på køl.</t>
  </si>
  <si>
    <t>Brug aldrig kagerulle (så hæver kanten ikke op, da luftes presses ud.</t>
  </si>
  <si>
    <t>Lad dejen temperere min. 2 timer før du skal bruge den.</t>
  </si>
  <si>
    <r>
      <rPr>
        <b/>
        <sz val="11"/>
        <rFont val="Calibri"/>
        <family val="2"/>
        <scheme val="minor"/>
      </rPr>
      <t>Salt</t>
    </r>
    <r>
      <rPr>
        <sz val="11"/>
        <rFont val="Calibri"/>
        <family val="2"/>
        <scheme val="minor"/>
      </rPr>
      <t>: forbedrer smagen, holder på dejens form og gør dejen nemmere at arbejde med.
For megen salt slår gærcellerne ihjel. Derfor tilføjes gær og salt forskudt i opskriften.</t>
    </r>
  </si>
  <si>
    <t>https://www.christinascucina.com/best-pizza-sauce-recipe-no-cook-authentic-italian-style/</t>
  </si>
  <si>
    <r>
      <rPr>
        <b/>
        <sz val="22"/>
        <color theme="1"/>
        <rFont val="Calibri"/>
        <family val="2"/>
        <scheme val="minor"/>
      </rPr>
      <t>Tomat sauce</t>
    </r>
    <r>
      <rPr>
        <b/>
        <sz val="20"/>
        <color theme="1"/>
        <rFont val="Calibri"/>
        <family val="2"/>
        <scheme val="minor"/>
      </rPr>
      <t xml:space="preserve"> </t>
    </r>
    <r>
      <rPr>
        <i/>
        <sz val="16"/>
        <color theme="1"/>
        <rFont val="Calibri"/>
        <family val="2"/>
        <scheme val="minor"/>
      </rPr>
      <t>(Authentic Italian Style)</t>
    </r>
  </si>
  <si>
    <t>3 tsk. extra olivenolie af høj kvalitet.</t>
  </si>
  <si>
    <t>1/2 tsk havsalt.</t>
  </si>
  <si>
    <t>2-3 fingerspidser tørret oregano.</t>
  </si>
  <si>
    <t>2-3 blade frisk basilikum, revet i små stykker.</t>
  </si>
  <si>
    <t>Evt. et fed hvidløg.</t>
  </si>
  <si>
    <t>Instruktion</t>
  </si>
  <si>
    <t>Bland alle ingredienserne i en skål og rør dem godt sammen.</t>
  </si>
  <si>
    <t>Saucen kan også laves med friske tomater, som moses med hånden.</t>
  </si>
  <si>
    <t>Ønsker man en mere jævn sauce, kan man give den en omgang med blenderen.</t>
  </si>
  <si>
    <t>(fjern skindet først - blancher tomaterne og læg dem i koldt vand).</t>
  </si>
  <si>
    <t>Noter</t>
  </si>
  <si>
    <t>Smag til med havsalt.</t>
  </si>
  <si>
    <t>Bruger du flåede tomater, så dræn dem og knus dem med hænderne.</t>
  </si>
  <si>
    <r>
      <rPr>
        <b/>
        <sz val="22"/>
        <color theme="1"/>
        <rFont val="Calibri"/>
        <family val="2"/>
        <scheme val="minor"/>
      </rPr>
      <t>Pizza sauce</t>
    </r>
    <r>
      <rPr>
        <b/>
        <sz val="20"/>
        <color theme="1"/>
        <rFont val="Calibri"/>
        <family val="2"/>
        <scheme val="minor"/>
      </rPr>
      <t xml:space="preserve"> </t>
    </r>
    <r>
      <rPr>
        <i/>
        <sz val="16"/>
        <color theme="1"/>
        <rFont val="Calibri"/>
        <family val="2"/>
        <scheme val="minor"/>
      </rPr>
      <t>(Authentic Italian Style)</t>
    </r>
  </si>
  <si>
    <r>
      <rPr>
        <b/>
        <sz val="11"/>
        <color theme="1"/>
        <rFont val="Calibri"/>
        <family val="2"/>
        <scheme val="minor"/>
      </rPr>
      <t>Mængde:</t>
    </r>
    <r>
      <rPr>
        <sz val="11"/>
        <color theme="1"/>
        <rFont val="Calibri"/>
        <family val="2"/>
        <scheme val="minor"/>
      </rPr>
      <t xml:space="preserve"> 3-4 pizzaer.</t>
    </r>
  </si>
  <si>
    <t>Saucen kan holde sig i køleskabet op til 3 dage. Kan også fryses ned i en måned.</t>
  </si>
  <si>
    <r>
      <rPr>
        <b/>
        <sz val="11"/>
        <color theme="1"/>
        <rFont val="Calibri"/>
        <family val="2"/>
        <scheme val="minor"/>
      </rPr>
      <t>Totaltid:</t>
    </r>
    <r>
      <rPr>
        <sz val="11"/>
        <color theme="1"/>
        <rFont val="Calibri"/>
        <family val="2"/>
        <scheme val="minor"/>
      </rPr>
      <t xml:space="preserve"> 10 min</t>
    </r>
  </si>
  <si>
    <t>1 dåse (400g.) hakkede tomater af høj kvalitet (f.eks. Mutti eller San Marzano)</t>
  </si>
  <si>
    <t>1 finthakket hvidløg.</t>
  </si>
  <si>
    <t>1 tsk. tørret oregano.</t>
  </si>
  <si>
    <t>https://www.insidetherustickitchen.com/authentic-italian-tomato-sauce-quick-easy-delicious/</t>
  </si>
  <si>
    <t>1 håndfuld frisk persille - hakket</t>
  </si>
  <si>
    <t>1 lille håndfuld frisk basilikum - hakket</t>
  </si>
  <si>
    <t>2 spsk. vand</t>
  </si>
  <si>
    <t>1 spsk. olivenolie</t>
  </si>
  <si>
    <t>1.</t>
  </si>
  <si>
    <t>2.</t>
  </si>
  <si>
    <t>3.</t>
  </si>
  <si>
    <t>4.</t>
  </si>
  <si>
    <t>5.</t>
  </si>
  <si>
    <r>
      <rPr>
        <b/>
        <sz val="11"/>
        <color theme="1"/>
        <rFont val="Calibri"/>
        <family val="2"/>
        <scheme val="minor"/>
      </rPr>
      <t>Forberedelse:</t>
    </r>
    <r>
      <rPr>
        <sz val="11"/>
        <color theme="1"/>
        <rFont val="Calibri"/>
        <family val="2"/>
        <scheme val="minor"/>
      </rPr>
      <t xml:space="preserve"> 2 min.</t>
    </r>
  </si>
  <si>
    <r>
      <rPr>
        <b/>
        <sz val="11"/>
        <color theme="1"/>
        <rFont val="Calibri"/>
        <family val="2"/>
        <scheme val="minor"/>
      </rPr>
      <t>Totaltid:</t>
    </r>
    <r>
      <rPr>
        <sz val="11"/>
        <color theme="1"/>
        <rFont val="Calibri"/>
        <family val="2"/>
        <scheme val="minor"/>
      </rPr>
      <t xml:space="preserve"> 5 min</t>
    </r>
  </si>
  <si>
    <r>
      <rPr>
        <b/>
        <sz val="11"/>
        <color theme="1"/>
        <rFont val="Calibri"/>
        <family val="2"/>
        <scheme val="minor"/>
      </rPr>
      <t>Forberedelse:</t>
    </r>
    <r>
      <rPr>
        <sz val="11"/>
        <color theme="1"/>
        <rFont val="Calibri"/>
        <family val="2"/>
        <scheme val="minor"/>
      </rPr>
      <t xml:space="preserve"> 0 min.</t>
    </r>
  </si>
  <si>
    <t>Evt. 1 tsk. balsamico eddike af høj kvalitet.</t>
  </si>
  <si>
    <t>Tilsæt hvidløg og oregano. Steg i 30 sekunder og tilføj persille og basilikum,</t>
  </si>
  <si>
    <t>samt evt. 1 stk. balsamico.</t>
  </si>
  <si>
    <t>Steg endnu 30 sekunder og tilføj derefter tomater og en knivspids salt.</t>
  </si>
  <si>
    <t>Tilføj 2 spsk. vand i den tomem tomat-dåse og tilføj dette til saucen.</t>
  </si>
  <si>
    <t>Kog det hele i 1 minut og brug derefter en kartoffelmoser for at mose tomaterne.</t>
  </si>
  <si>
    <t>Du kan også bruge en blender, hvis du vil have saucen endnu mere jævn.</t>
  </si>
  <si>
    <t>Lad det simre i 8 minutter og rø jævnligt i det.</t>
  </si>
  <si>
    <t>Sluk for komfuret og smag saucen tilmed salt og evt øvrige krydderier.</t>
  </si>
  <si>
    <t>Hæld 1 tsk. oliven olie i en stegepande og varm op.</t>
  </si>
  <si>
    <t>Er god til pasta, pizza eller et stykke ciabatta-brød.</t>
  </si>
  <si>
    <t>Kommer…</t>
  </si>
  <si>
    <t>Havsalt</t>
  </si>
  <si>
    <t>Vend/mæt bollerne i Semoina/fin durummel for at de hænger fast på bord eller pizza-spade.</t>
  </si>
  <si>
    <r>
      <rPr>
        <b/>
        <sz val="11"/>
        <color theme="1"/>
        <rFont val="Calibri"/>
        <family val="2"/>
        <scheme val="minor"/>
      </rPr>
      <t>Gær</t>
    </r>
    <r>
      <rPr>
        <sz val="11"/>
        <color theme="1"/>
        <rFont val="Calibri"/>
        <family val="2"/>
        <scheme val="minor"/>
      </rPr>
      <t>: er ned til at udvikle dejens smag over tid og gør den luftig.
Når man hæver dej og bager ved høj varme, behøver man mindre gær.</t>
    </r>
  </si>
  <si>
    <r>
      <rPr>
        <b/>
        <sz val="11"/>
        <rFont val="Calibri"/>
        <family val="2"/>
        <scheme val="minor"/>
      </rPr>
      <t>Autolyse</t>
    </r>
    <r>
      <rPr>
        <sz val="11"/>
        <rFont val="Calibri"/>
        <family val="2"/>
        <scheme val="minor"/>
      </rPr>
      <t xml:space="preserve"> er en metode, hvor mel og vand blandes sammen, inden æltningen går igang. Efter mel og vand er blandet sammen, skal blandingen have lov at hvile. Autolysens varighed kan variere, alt fra 30 minutter til flere timer. Dette afhænger af mel og opskrift.
Under autolyse metode, absorberer melet vandet fuldstændig. Dejen trækker sig sammen og det aktivere enzymerne i melet, og proteinerne starter udviklingen af glutennetværket. Enzymerne nedbryder stivelsen og dejen bliver mere glat og elastisk at arbejde med.
Under denne proces, skal der hverken æltes eller tilsættes salt. Salten undlades, da det ellers vil resultere i at glutennetværket bliver strammet, hvilket sænker udviklingen af et godt glutennetværket, som er dét vi gerne skal arbejde os hen mod. Det vil derfor modarbejde autolyse, og det vil føles sværere at strække dejen ud, netop på grund af saltets spændingseffekt der trækker dejen sammen på en mere “falsk” måde.
Det giver både dej og det færdige brød en flot struktur, fordi glutennetværket har fået lov at udvikle sig. Processen sikrer, at der dannes gluten i dejen.</t>
    </r>
  </si>
  <si>
    <t>Placer bollerne bordet og tryk dem ud fra midten og ud mod kanten nænsomt til den har ca 25-30 cm i diameter. Efterlad ca 1 cm. kant. Brug aldrig kagerulle!</t>
  </si>
  <si>
    <t>Undgå at bunden bliver alt for tynd, da der risikerer at gå hul i bunden når pizzaen skal ind og ud af ovnen.</t>
  </si>
  <si>
    <r>
      <t>Cuoco/Saccorosso (</t>
    </r>
    <r>
      <rPr>
        <b/>
        <sz val="11"/>
        <color theme="1"/>
        <rFont val="Calibri"/>
        <family val="2"/>
        <scheme val="minor"/>
      </rPr>
      <t>rød Caputo</t>
    </r>
    <r>
      <rPr>
        <sz val="11"/>
        <color theme="1"/>
        <rFont val="Calibri"/>
        <family val="2"/>
        <scheme val="minor"/>
      </rPr>
      <t>), er en stærkere variant af Pizzeria melet, og er lavet til de varme dage i Napoli hvor dejen udvikler sig hurtigere, og dermed også mister sin styrke. Kan sagtens hæve ved stuetemperatur i lige over et døgn, og koldhævning i samme periode som den blå.
Forskellen på de to typer mel er styrken, men så snart man koldhæver, sætter man lidt det ud af spillet.</t>
    </r>
  </si>
  <si>
    <r>
      <t xml:space="preserve">Caputo Pizzeria (oftest omtalt som </t>
    </r>
    <r>
      <rPr>
        <b/>
        <sz val="11"/>
        <color theme="1"/>
        <rFont val="Calibri"/>
        <family val="2"/>
        <scheme val="minor"/>
      </rPr>
      <t>blå Caputo</t>
    </r>
    <r>
      <rPr>
        <sz val="11"/>
        <color theme="1"/>
        <rFont val="Calibri"/>
        <family val="2"/>
        <scheme val="minor"/>
      </rPr>
      <t>), er velegnet til op til ca. 12-16 timer ved stuetemperatur, men smider man den på køl kan den snildt bruges i 3-4 dage, hvis ikke mere.</t>
    </r>
  </si>
  <si>
    <t>Mel</t>
  </si>
  <si>
    <r>
      <t xml:space="preserve">Lad bollerne hvile yderligere </t>
    </r>
    <r>
      <rPr>
        <b/>
        <sz val="11"/>
        <color theme="1"/>
        <rFont val="Calibri"/>
        <family val="2"/>
        <scheme val="minor"/>
      </rPr>
      <t>24-72 timer</t>
    </r>
    <r>
      <rPr>
        <sz val="11"/>
        <color theme="1"/>
        <rFont val="Calibri"/>
        <family val="2"/>
        <scheme val="minor"/>
      </rPr>
      <t xml:space="preserve"> i køleskab i lufttæt beholder.</t>
    </r>
  </si>
  <si>
    <t>Pizza alla caprese</t>
  </si>
  <si>
    <t>Tomater (i tynde skiver)</t>
  </si>
  <si>
    <t>Hvidløg (i tynde skiver)</t>
  </si>
  <si>
    <t>Olienolie</t>
  </si>
  <si>
    <t>Friskkværnet peber</t>
  </si>
  <si>
    <t>Frisk basilikum</t>
  </si>
  <si>
    <t>Bred et tyndt lag tomatsauce på. Skær mozzarella,</t>
  </si>
  <si>
    <t>kværn peber over.</t>
  </si>
  <si>
    <t>Hvidløg</t>
  </si>
  <si>
    <t>Mild rød chili</t>
  </si>
  <si>
    <t>Krydret salami i skiver</t>
  </si>
  <si>
    <t>Frisk organo</t>
  </si>
  <si>
    <t>Olivenolie</t>
  </si>
  <si>
    <t>Flagesalt</t>
  </si>
  <si>
    <t>Friskkværnet sort peber</t>
  </si>
  <si>
    <t>Mozarella</t>
  </si>
  <si>
    <t>Pizza al salame piccante</t>
  </si>
  <si>
    <t xml:space="preserve">tomater og hvidløg tyndt. Fordel det på pizzaen </t>
  </si>
  <si>
    <t>sammen med hele basilikumblade. I ovnen med</t>
  </si>
  <si>
    <t>pizzaen. Tag pizzaen ud, dryp med olivenolie, og</t>
  </si>
  <si>
    <t>Pizza alla capricciosa</t>
  </si>
  <si>
    <t>Røget skinke</t>
  </si>
  <si>
    <t>Solmoden tomat</t>
  </si>
  <si>
    <t>Champignon</t>
  </si>
  <si>
    <t>Bred et tyndt lag tomatsauce på. Skær champignon,</t>
  </si>
  <si>
    <t>tomater og hvidløg tyndt og skær mozarella i skiver.</t>
  </si>
  <si>
    <t xml:space="preserve">Fordel skinke og de øvrige ingredienser på pizzaen </t>
  </si>
  <si>
    <t>sammen med hele basilikumblade.</t>
  </si>
  <si>
    <t xml:space="preserve">Bag i ovnen og dryp herefter med olivenolie og </t>
  </si>
  <si>
    <t>Tomatsauce</t>
  </si>
  <si>
    <t>Pizza ai carciofi</t>
  </si>
  <si>
    <t>Artiskokhjerter</t>
  </si>
  <si>
    <t>Pecorino-ost</t>
  </si>
  <si>
    <t>Valnødder</t>
  </si>
  <si>
    <t>Frisk timian</t>
  </si>
  <si>
    <t>Lad artiskokhjerterne dryppe godt af. Del dem og</t>
  </si>
  <si>
    <t>steg dem gyldenbrune i olivenolie.</t>
  </si>
  <si>
    <t>Smør pizzaen med tomatsauce. Fordel artiskokker,</t>
  </si>
  <si>
    <t>kværn peber over. Pynt med timian.</t>
  </si>
  <si>
    <t>Riv pecorino-osten og hak nødderne groft.</t>
  </si>
  <si>
    <t>Pizza bianca</t>
  </si>
  <si>
    <t>Ricotta-ost</t>
  </si>
  <si>
    <t>Parmesan-ost</t>
  </si>
  <si>
    <t>Pinjekerner</t>
  </si>
  <si>
    <t>Friske rosmarin-kviste</t>
  </si>
  <si>
    <t>Bred et lag ricottaost på pizzaen. Riv parmasanost</t>
  </si>
  <si>
    <t>pinjekerner på. Skær hvidløgene i tynde skiver og</t>
  </si>
  <si>
    <t>hak rosmarinen fint. Drys det over pizzaen og dryp</t>
  </si>
  <si>
    <t>med olivenolie samt krydr med salt og peber.</t>
  </si>
  <si>
    <t>over og læg skiver af mozzarellaost og</t>
  </si>
  <si>
    <t>Mozzarella</t>
  </si>
  <si>
    <t>Hvidløgssauce</t>
  </si>
  <si>
    <t>Blend 120 ml olivenolie med 4 fed hvidløg</t>
  </si>
  <si>
    <t>Kartofler, tyndskårene</t>
  </si>
  <si>
    <t>Smør et lag af hvidløgssaucen på pizzabunden.</t>
  </si>
  <si>
    <t>Fordel kartoffel, jalapeño og ost. Bag.</t>
  </si>
  <si>
    <t>Jalapeños, gerne frisk tyndskåret</t>
  </si>
  <si>
    <t>400 g blandede oste</t>
  </si>
  <si>
    <t xml:space="preserve">  - taleggio, fontina, parmesan, gorgonzola.</t>
  </si>
  <si>
    <t xml:space="preserve">Riv de hårde oste og del taleggio og gorgonzola i </t>
  </si>
  <si>
    <t>mindre stykker. Fordel tomatsauce og derefter ost og</t>
  </si>
  <si>
    <t>groft hakkede valnødder.  Bag</t>
  </si>
  <si>
    <t>Pizza ai quattro formaggi</t>
  </si>
  <si>
    <t>Kartoffel Jalapeño Pizza med hvidløgssauce (bianca)</t>
  </si>
  <si>
    <t>Frisk mozarella</t>
  </si>
  <si>
    <t>Prosciutto cotto (kogt skinke i god kvalitet)</t>
  </si>
  <si>
    <t>Fordel kogt skinke, champignon og revet mozzarella</t>
  </si>
  <si>
    <t>og bag pizzaen.</t>
  </si>
  <si>
    <t>Pizza prosciutto cotto e funghi</t>
  </si>
  <si>
    <t>Pizza al prosciutto crudo (o bresaola)</t>
  </si>
  <si>
    <t>Ruccola salat</t>
  </si>
  <si>
    <t>Parmasan flager</t>
  </si>
  <si>
    <t>Ekstra jomfru olivenolie</t>
  </si>
  <si>
    <t>Prosciutto Crudo (parmaskinke el. anden lufttørret)</t>
  </si>
  <si>
    <t>Bred et tyndt lag tomatsauce på pizzaen.</t>
  </si>
  <si>
    <t>Bred et tyndt lag tomatsauce på pizzaen og tilføj</t>
  </si>
  <si>
    <t>mozzarella og bag pizzaen.</t>
  </si>
  <si>
    <t>Tag den ud når den er færdig og fordel prosciutto,</t>
  </si>
  <si>
    <t>Pizza Margherita</t>
  </si>
  <si>
    <t>Revet mozarella</t>
  </si>
  <si>
    <t>Fordel mozzarella og basilikum. Bag.</t>
  </si>
  <si>
    <t>Pizza Marinara</t>
  </si>
  <si>
    <t>Oregano</t>
  </si>
  <si>
    <t>Skær hvidløgene i tynde skiver og fordel på pizzaen.</t>
  </si>
  <si>
    <t xml:space="preserve">Drys med tørret oregano og dryp cirkulær med </t>
  </si>
  <si>
    <t>olivenolie. Tilfør enkelte basilikumblade. Bag.</t>
  </si>
  <si>
    <t>ruccola salat og parmasan-skiber. Dryp med olivenolie.</t>
  </si>
  <si>
    <t>Pizza Diavola</t>
  </si>
  <si>
    <t>Stærk salami i skiver</t>
  </si>
  <si>
    <t>Basilikum</t>
  </si>
  <si>
    <t>Smør et fornuftigt lag tomatsauce på og fordel nu</t>
  </si>
  <si>
    <t>salami, mozzarella og basilikum på den. Bag</t>
  </si>
  <si>
    <t>Evt. jalapeños eller anden chili for super spicy</t>
  </si>
  <si>
    <t>Skær hvidløg og chili i tynde skiver og skær</t>
  </si>
  <si>
    <t>mozzarella i skiver.</t>
  </si>
  <si>
    <t>Bred et tyndt lag tomatsauce på. Fordel salami,</t>
  </si>
  <si>
    <t>hvidløg, chili, mozzarealla og oregano på pizzaen.</t>
  </si>
  <si>
    <r>
      <t xml:space="preserve">Lad dejen hvile i </t>
    </r>
    <r>
      <rPr>
        <b/>
        <sz val="11"/>
        <color theme="1"/>
        <rFont val="Calibri"/>
        <family val="2"/>
        <scheme val="minor"/>
      </rPr>
      <t>24 timer ved stuetemperatur</t>
    </r>
    <r>
      <rPr>
        <sz val="11"/>
        <color theme="1"/>
        <rFont val="Calibri"/>
        <family val="2"/>
        <scheme val="minor"/>
      </rPr>
      <t xml:space="preserve"> i lufttæt beholder.</t>
    </r>
  </si>
  <si>
    <t>Dejen virkes nu op til en bolle indtil overfladen virker jævn.</t>
  </si>
  <si>
    <t>pecorino-ost, og valnødder på pizzaen.</t>
  </si>
  <si>
    <t>Frisk mozzarella (i tynde skiver)</t>
  </si>
  <si>
    <t>g frisk gær</t>
  </si>
  <si>
    <t>Ælt videre ved lav hastighed i 5 min.</t>
  </si>
  <si>
    <t>Under æltning af dejen, sørg for at temperaturen i dejen ikke overstiger 26-28 grader.</t>
  </si>
  <si>
    <r>
      <t xml:space="preserve">Lad den hvile </t>
    </r>
    <r>
      <rPr>
        <sz val="11"/>
        <rFont val="Calibri"/>
        <family val="2"/>
        <scheme val="minor"/>
      </rPr>
      <t>tildækket i 15 min.</t>
    </r>
    <r>
      <rPr>
        <sz val="11"/>
        <color theme="1"/>
        <rFont val="Calibri"/>
        <family val="2"/>
        <scheme val="minor"/>
      </rPr>
      <t xml:space="preserve"> Vend en skål ovenpå med bunden op.</t>
    </r>
  </si>
  <si>
    <t>Dæk dem med låg eller folie og lad dem hæve 2 timer ved stuetemperatur, hvorefter de er klar til brug</t>
  </si>
  <si>
    <t>Simpel</t>
  </si>
  <si>
    <t>Udførlig</t>
  </si>
  <si>
    <t>Rør gær og honning ud i vandet.</t>
  </si>
  <si>
    <t>Rør poolish ud i vandet og tilsæt halvdelen af melet.</t>
  </si>
  <si>
    <t>Vend dejen ud på bordet. Tag evt. lidt olie på hænderne for bedre at kunne håndtere den.</t>
  </si>
  <si>
    <t>Virk dejen op til glat overflade.</t>
  </si>
  <si>
    <t>Voila!</t>
  </si>
  <si>
    <t xml:space="preserve"> </t>
  </si>
  <si>
    <t>Vend dejen ud på bordet.</t>
  </si>
  <si>
    <t>Vend dejen ud på bordet og lad den hvile tildækket i 15 min.</t>
  </si>
  <si>
    <t>Stram dejkuglerne op og lad dem hæve 2 timer ved stuetemperatur.</t>
  </si>
  <si>
    <t>Lad poolish hvile 20 min ved stuetemperattur.</t>
  </si>
  <si>
    <t>g. total poolish</t>
  </si>
  <si>
    <t>Poolish</t>
  </si>
  <si>
    <t>g poolish</t>
  </si>
  <si>
    <t>Hoveddej</t>
  </si>
  <si>
    <t>g sukker</t>
  </si>
  <si>
    <t>g salt (1 tsk.)</t>
  </si>
  <si>
    <t>g sukker (1 tsk.)</t>
  </si>
  <si>
    <t>g mel tipo 00 (til lang hævetid)</t>
  </si>
  <si>
    <t xml:space="preserve">g hvede-mel tipo 00 </t>
  </si>
  <si>
    <t>g olivenolie (1 spsk.)</t>
  </si>
  <si>
    <t>g semola-mel (evt. blot. ovenstående)</t>
  </si>
  <si>
    <t>g total dej</t>
  </si>
  <si>
    <t>Gorms pizzadej</t>
  </si>
  <si>
    <t>Gorm Wiswehs nemme og hurtige grunddej</t>
  </si>
  <si>
    <t>g olivenolie</t>
  </si>
  <si>
    <t>Opløs gær og sukker i vandet.</t>
  </si>
  <si>
    <t>Tilsæt ½-delen 00-mel og semola. Røres ud, til der ikke er flere klumper.</t>
  </si>
  <si>
    <t>1 eller 2 meltyper</t>
  </si>
  <si>
    <t>Tilsæt salt og olie, rør lidt, tilsæt derpå resten af melet over to omgange.</t>
  </si>
  <si>
    <t xml:space="preserve">Ælt dejen i  10-15 minutter indtil den begynder at blive glat og smidig at røre ved. </t>
  </si>
  <si>
    <t>Dejklumperne strammes op til kugler ved at folde oversiden ind i bunden af dejen.</t>
  </si>
  <si>
    <t>Det siges at en autentisk pizza-sauce ikke skal koges, så dette er mere en all-round tomat sauce.</t>
  </si>
  <si>
    <r>
      <t xml:space="preserve">Lad bollerne hvile ved </t>
    </r>
    <r>
      <rPr>
        <b/>
        <sz val="11"/>
        <color theme="1"/>
        <rFont val="Calibri"/>
        <family val="2"/>
        <scheme val="minor"/>
      </rPr>
      <t>stuetemperatur i 30-60 minutter</t>
    </r>
    <r>
      <rPr>
        <sz val="11"/>
        <color theme="1"/>
        <rFont val="Calibri"/>
        <family val="2"/>
        <scheme val="minor"/>
      </rPr>
      <t xml:space="preserve"> i en lufttæt beholder.</t>
    </r>
  </si>
  <si>
    <r>
      <t xml:space="preserve">Lad dejen hæve i </t>
    </r>
    <r>
      <rPr>
        <b/>
        <sz val="11"/>
        <color theme="1"/>
        <rFont val="Calibri"/>
        <family val="2"/>
        <scheme val="minor"/>
      </rPr>
      <t>køleskab i 1 time</t>
    </r>
    <r>
      <rPr>
        <sz val="11"/>
        <color theme="1"/>
        <rFont val="Calibri"/>
        <family val="2"/>
        <scheme val="minor"/>
      </rPr>
      <t xml:space="preserve"> eller til dobbeltstørrelse (eller evt til dagen efter).</t>
    </r>
  </si>
  <si>
    <t>Find mere inspiration her:     50 Most Popular PIZZAS in the world</t>
  </si>
  <si>
    <t>g/ml. kold vand (5°)</t>
  </si>
  <si>
    <t>Tilsæt salt og resten af melet og rør sammen.</t>
  </si>
  <si>
    <t>Kan gøres klar på ned til 2 timer…</t>
  </si>
  <si>
    <t xml:space="preserve"> g/ml. kold vand (5°)</t>
  </si>
  <si>
    <t>g/ml koldt vand (5°)</t>
  </si>
  <si>
    <t>Lad det hæve i en lukket beholder (låg eller film) i 1 time ved stuetemperatur.</t>
  </si>
  <si>
    <t>stuetemp og opbevares på køl op til 3 dage.</t>
  </si>
  <si>
    <t>Klap evt. dejkuglerne med olie (så overfladen ikke tører ud) og placer dem i en hævekasse eller bradepande.</t>
  </si>
  <si>
    <t>g tørgær</t>
  </si>
  <si>
    <t>Når du drejer din pizza på stenen, så sørg for at placere den samme sted igen, da stenen er varmere der hvor pizzaen ikke har ligget. Det resulterer i brandt bund.</t>
  </si>
  <si>
    <t>Tip: Poolish kan fermentes op til 4 timer ved</t>
  </si>
  <si>
    <t>Når hoveddejen har stået på køl, man man med fordel forme dejkuglerne, straks dejen er taget ud.</t>
  </si>
  <si>
    <t>Så er dejen stadig kold og så klistrer dejen ikke så let ved fingrene, som når den er stuetemperatur.</t>
  </si>
  <si>
    <r>
      <t xml:space="preserve">Mel og ca. 95% af vandet røres let sammen til dejen samler sig </t>
    </r>
    <r>
      <rPr>
        <i/>
        <sz val="11"/>
        <color theme="1"/>
        <rFont val="Calibri"/>
        <family val="2"/>
        <scheme val="minor"/>
      </rPr>
      <t>(gerne i hånden).</t>
    </r>
  </si>
  <si>
    <r>
      <t xml:space="preserve">Lad dejen </t>
    </r>
    <r>
      <rPr>
        <b/>
        <sz val="11"/>
        <color theme="1"/>
        <rFont val="Calibri"/>
        <family val="2"/>
        <scheme val="minor"/>
      </rPr>
      <t xml:space="preserve">hvile ved stuetemperatur i 40-60 min. </t>
    </r>
    <r>
      <rPr>
        <sz val="11"/>
        <color theme="1"/>
        <rFont val="Calibri"/>
        <family val="2"/>
        <scheme val="minor"/>
      </rPr>
      <t>(autolyse).</t>
    </r>
  </si>
  <si>
    <t>Salt</t>
  </si>
  <si>
    <t>Poolish double fermented</t>
  </si>
  <si>
    <t>Sæt poolishen (stadig i lukket beholder) i køleskabet i 16-24 timer.</t>
  </si>
  <si>
    <t>POOLISH</t>
  </si>
  <si>
    <t>VALG</t>
  </si>
  <si>
    <t>Fremgangsmåde:</t>
  </si>
  <si>
    <t>Herefter i køleskab i 16-24 timer.</t>
  </si>
  <si>
    <t>Luk tæt med låg eller film og lad dejen hæve 16-24 timer i køleskabet (2. fermentering).</t>
  </si>
  <si>
    <t>Luk tæt med låg eller film og lad dejen hæve 30 min. ved stuetemperatur.</t>
  </si>
  <si>
    <t>Læg dejen i en skål og lad dejen hæve 16-24 timer i køleskabet (2. fermentering)</t>
  </si>
  <si>
    <t>Læg dejen i en skål og lad dejen hæve 30 min. ved stuetemperatur.</t>
  </si>
  <si>
    <t>Tag dejen ud og lad den stå i 20 min ved stuetepmeratur.</t>
  </si>
  <si>
    <t>Poolish + Autolysis</t>
  </si>
  <si>
    <t>POOLISH + AUTOLYSIS</t>
  </si>
  <si>
    <t>Poolish + autolysis</t>
  </si>
  <si>
    <t>Lad det hvile tildækket 1 time ved stuetemperatur.</t>
  </si>
  <si>
    <t>Tilberedning</t>
  </si>
  <si>
    <t>Tid</t>
  </si>
  <si>
    <t>Dejen virkes nu op indtil overfladen virker jævn (fold dejen ind under sig selv).</t>
  </si>
  <si>
    <t>Dejen virkes nu op indtil overfladen virker jævn (fold dejen ind under sig selv. Husk at lukke).</t>
  </si>
  <si>
    <t>Lad dejen hvile tildækket ved stuetemperatur i 40-60 min.</t>
  </si>
  <si>
    <t>I mellemtiden tages poolishen ud og hviler 20 min ved stuetemperatur.</t>
  </si>
  <si>
    <t>Tilsæt salt og ælt den godt ind i dejen.</t>
  </si>
  <si>
    <t>Læg dejen i lufttæt beholder og sæt den i køleskabet i 6 timer.</t>
  </si>
  <si>
    <t>Stram dejkuglerne op og lad dem hæve 2-3 timer ved stuetemperatur.</t>
  </si>
  <si>
    <t>Fordel</t>
  </si>
  <si>
    <t>De skal hæve til ca dobbelt størrelse.</t>
  </si>
  <si>
    <t>POOLISH DOUBLE FERMENTED</t>
  </si>
  <si>
    <t>Samlet tid for tilberedning af dej: 26-34 timer</t>
  </si>
  <si>
    <t>Samlet tid for tilberedning af dej: 21-29 timer</t>
  </si>
  <si>
    <t>Samlet tid for tilberedning af dej: 37-53 timer</t>
  </si>
  <si>
    <t>Tag poolish'en ud af køleskabet og lad den stå ved stuetemperatur (20-25°) i 20 min.</t>
  </si>
  <si>
    <t>OBS: Poolishen vil hæve ca. 2/3 af massen.</t>
  </si>
  <si>
    <t>Poolish er med til at udvikle smagen i brødet og giver en bedre skorpe.</t>
  </si>
  <si>
    <t xml:space="preserve">Under autolys absorberer melet vandet og der dannes gluten. Når melet bliver vådt aktiveres enzymer som nedbryder stivelsen og dejen bliver glat og elastisk at arbejde med. </t>
  </si>
  <si>
    <t>g eller ml vand</t>
  </si>
  <si>
    <t/>
  </si>
  <si>
    <t>°F / hrs</t>
  </si>
  <si>
    <t>°C</t>
  </si>
  <si>
    <t>SS %</t>
  </si>
  <si>
    <t>CY %</t>
  </si>
  <si>
    <t>IDY %</t>
  </si>
  <si>
    <t>ADY %</t>
  </si>
  <si>
    <t>SS</t>
  </si>
  <si>
    <t>CY</t>
  </si>
  <si>
    <t>IDY</t>
  </si>
  <si>
    <t>ADY</t>
  </si>
  <si>
    <r>
      <t xml:space="preserve">Forhåbentlig </t>
    </r>
    <r>
      <rPr>
        <i/>
        <sz val="11"/>
        <color theme="1"/>
        <rFont val="Calibri"/>
        <family val="2"/>
        <scheme val="minor"/>
      </rPr>
      <t>"soft and craunchy"</t>
    </r>
    <r>
      <rPr>
        <sz val="11"/>
        <color theme="1"/>
        <rFont val="Calibri"/>
        <family val="2"/>
        <scheme val="minor"/>
      </rPr>
      <t xml:space="preserve"> som Vito ville sige…</t>
    </r>
  </si>
  <si>
    <t>hours</t>
  </si>
  <si>
    <t>Hvil tildækket 1 time ved stuetemperatur.</t>
  </si>
  <si>
    <t>Bland mel og vand ved lav hastighed indtil dejen samler sig.</t>
  </si>
  <si>
    <t>Oversigt</t>
  </si>
  <si>
    <t>Tip: Fra nu af skal du sørge for holde overside af dejen op under hele processen.</t>
  </si>
  <si>
    <t>Sæt poolishen (i lukket beholder) i køleskabet i 16-24 timer (1. fermentering).</t>
  </si>
  <si>
    <t>Sæt poolishen i på køl i 16-24 timer (1. fermentering).</t>
  </si>
  <si>
    <t>Bland dejen og poolish ved lav/mellem hastighed, indtil dejene har samlet sig.</t>
  </si>
  <si>
    <t>Dejen ud på bordet. Fordel olien med hænderne ud over overfladen og virk den op til glat overflade/kugle.</t>
  </si>
  <si>
    <t>Lad dejen hvile tildækket ved stuetemperatur (20-25°) i 40-60 min.</t>
  </si>
  <si>
    <t>Bland dejen og poolish indtil dejene har samlet sig.</t>
  </si>
  <si>
    <t>Virk den op til glat overflade/kugle.</t>
  </si>
  <si>
    <t>Stram dejkuglerne op og lad dem hæve tildækket 2-3 timer ved stuetemperatur (20-25°).</t>
  </si>
  <si>
    <t>Vend dejen ud på bordet og sørg for at få oversiden op. Det er okay at vende den om.</t>
  </si>
  <si>
    <t>De skal hæve til ca dobbelt størrelse og tiden kan variere afhængig af temperatur.</t>
  </si>
  <si>
    <t>Opskrifts-beskrivelse</t>
  </si>
  <si>
    <t>Tag dejen ud og lad den stå i 1-2 timer ved stuetemperatur.</t>
  </si>
  <si>
    <t>Den dobbelte fermentering giver en luftig dej og udvikler smagen i brødet.</t>
  </si>
  <si>
    <t>Chili-pasta (pizzamandens hemmelige bæger)</t>
  </si>
  <si>
    <t xml:space="preserve">Tag en god portion chiliflager og give dem et opkog i en gryde med en smule vand til det har den konsistens du ønsker. </t>
  </si>
  <si>
    <t>Tilsæt tomatkoncentrat og lad det “brænde af” kort for at fjerne den bitre smag.</t>
  </si>
  <si>
    <t xml:space="preserve">Tilsæt et presset hvidløg, lidt salt, citron, sukker, kanel, spidskommen og noget smagsneutralt olie. </t>
  </si>
  <si>
    <t>Smag dig frem til det du ønsker og tilføj evt friskhakket chili hvis du ønsker mere power.</t>
  </si>
  <si>
    <t>Hæld på et renskoldet glas og fyld yderligere olie på et par centimeter over chilisaucen.</t>
  </si>
  <si>
    <t>Den kan bruges med det samme, men lad den gerne trække et par dage.</t>
  </si>
  <si>
    <t>Chili-sauce (som den på de bedste shawarma-joints)</t>
  </si>
  <si>
    <t>1 Glas Soltøret tomater i olie</t>
  </si>
  <si>
    <t>1/2 Tsk. Hvidløgs pulver</t>
  </si>
  <si>
    <t>1 Tsk. Garam Masala (Også fra den etniske)</t>
  </si>
  <si>
    <t>1/2 Tsk. Salt</t>
  </si>
  <si>
    <t>1 Tsk. Cayenne peber</t>
  </si>
  <si>
    <t>1 Tsk. Citron saft</t>
  </si>
  <si>
    <t>2 Tsk. Sukker</t>
  </si>
  <si>
    <t xml:space="preserve">Hæld dem op i skålen til olien, tilføj alle de andre ingredienser og rør godt rundt. </t>
  </si>
  <si>
    <t>Nu skal der så olie på og det er på slum men der skal altså en del i så vær ikke bange rør imens og tilføj olie til det ligesom er mættet.</t>
  </si>
  <si>
    <t xml:space="preserve">Hæld det hele i et stort skoldet syltetøjglas og stil det i køleskabet 2-3 timer. </t>
  </si>
  <si>
    <t>Det skal stå i køleskabet mindst 2 dage inden man spiser af det, ellers er de tørret chili flager gummiagtige og ikke rare at spise.</t>
  </si>
  <si>
    <t xml:space="preserve">Er man ikke til så stærk chili kan man starte med 2 spk chili flager og ingen cayenne peber. Man kan jo tilføje mere senere, men lad det </t>
  </si>
  <si>
    <t>stå 2-3 dage inden man smager til. Man kan ikke smage den endelige styrke inden det har stået og trukket et par dage.</t>
  </si>
  <si>
    <t>2 røde peberfrugter</t>
  </si>
  <si>
    <t>2 hele, røde chilier med kerner</t>
  </si>
  <si>
    <t>1 dl sukker</t>
  </si>
  <si>
    <t>1 dl hvidvinseddike</t>
  </si>
  <si>
    <t>½ dl vand</t>
  </si>
  <si>
    <t xml:space="preserve">Skær peberfrugt og chili i mindre stykker. </t>
  </si>
  <si>
    <t xml:space="preserve">Kom alle ingredienserne i en gryde og lad det simre i 15-20 minutter. </t>
  </si>
  <si>
    <t xml:space="preserve">Skold et glas og kom chilimarmeladen heri. </t>
  </si>
  <si>
    <t>Chilimarmeladen kan holde sig 1-2 måneder i køleskabet.</t>
  </si>
  <si>
    <t>180 g. tomat puré (4 af de helt små dåser)</t>
  </si>
  <si>
    <t>Neutral olie (IKKE OLIVENOLIE). Brug f.eks. koltpresset raps olie.</t>
  </si>
  <si>
    <t xml:space="preserve">Hæld det øverste af olien fra de soltøret tomater. De skal ikke drænes for olie - bare lige hæld det værste fra i en skål. </t>
  </si>
  <si>
    <t>Blend tomaterne i en blender indtil de er ensartet masse.</t>
  </si>
  <si>
    <t>Kig på glasset for at se om der er nok olie i. Det skal være så der lige skiller 1-2mm olie på toppen. Hvis ikke, så kom mere på og rør.</t>
  </si>
  <si>
    <t>Tjek igen efter et par timer. Det er vigtigt med så meget olie.</t>
  </si>
  <si>
    <t xml:space="preserve">Denne opskrift er ca. lige så stærk som dem på shawarma-baren. Den er god stærk men ikke brændende. </t>
  </si>
  <si>
    <t>Blend chilimarmeladen en smule.</t>
  </si>
  <si>
    <t xml:space="preserve">Du kan selv afgøre, om du ønsker chilimarmeladen helt lind eller med lidt konsistens. </t>
  </si>
  <si>
    <t>Gær</t>
  </si>
  <si>
    <t>Almindeligt fersk gær behøver ikke blive opløst i væsken, tilsæt blot gærmængden så skal æltningen nok sørge for at gæren bliver fordelt.
Dog kan det være en fordel ved fordeje, at udrøre gæren i vandet, da konsistensen er meget blød. På den måde får du gæraktivitet hurtigere.</t>
  </si>
  <si>
    <t>I Danmark findes der primært IDY (Instant Dry Yeast) som kendes på at det er bittesmå stave. Denne type tørgær kan bruges direkte i melet, og er ikke så følsom overfor hvordan det bruges. Faktisk reagerer IDY bedst ved at blive blandet sammen med melet inden æltning. Tørgær kan typisk holde sig 2 år fra produktionsdato.</t>
  </si>
  <si>
    <t>Gær findes primært i to versioner til forbrugere: fersk gær og tørgær.</t>
  </si>
  <si>
    <t>Sød chili-sauce (chili-marmelade)</t>
  </si>
  <si>
    <t>3 spk. tørrede chiliflager (helst fra en etnisk pusher - Santa Maria er bare ikke det samme)</t>
  </si>
  <si>
    <t>Hydrering</t>
  </si>
  <si>
    <t>g/ml koldt vand (25°)</t>
  </si>
  <si>
    <t>Gæren røres ud i vandet i en skål.</t>
  </si>
  <si>
    <t>Ælt dejen i 5 min. ved lav hastighed.</t>
  </si>
  <si>
    <t>Lad dejen hvile i skålen i 10 min.</t>
  </si>
  <si>
    <t>Dejen er nu færdigæltet, hvilket man kan se ved at dejen er "skær" (helt blank og glat).</t>
  </si>
  <si>
    <t>Dejklumperne strammes nu op til kugler ved at folde oversiden ind i bunden af dejen.</t>
  </si>
  <si>
    <t>Skal åbnes i Google Chrome</t>
  </si>
  <si>
    <t>Dough Fermentation calculator</t>
  </si>
  <si>
    <r>
      <t>Bagerkokkens poolish pizza</t>
    </r>
    <r>
      <rPr>
        <b/>
        <sz val="16"/>
        <color theme="1"/>
        <rFont val="Calibri"/>
        <family val="2"/>
        <scheme val="minor"/>
      </rPr>
      <t xml:space="preserve"> </t>
    </r>
    <r>
      <rPr>
        <i/>
        <sz val="16"/>
        <color theme="1"/>
        <rFont val="Calibri"/>
        <family val="2"/>
        <scheme val="minor"/>
      </rPr>
      <t>- dobbelt fermenteret</t>
    </r>
  </si>
  <si>
    <t>Bagerkokkens Pizza Napoli</t>
  </si>
  <si>
    <t>Af Per Milkovic-Bangert's opskrift</t>
  </si>
  <si>
    <t>g/ml vand (25°)</t>
  </si>
  <si>
    <t>4.2</t>
  </si>
  <si>
    <t>Ver.</t>
  </si>
  <si>
    <t>Ark</t>
  </si>
  <si>
    <t>Bagekokkens poolish pizza</t>
  </si>
  <si>
    <t>Ændring</t>
  </si>
  <si>
    <t>Tilsæt salt og ælt dejen i yderligere 5 min. ved mellem hastighed.</t>
  </si>
  <si>
    <t>torbenk@outlook.dk</t>
  </si>
  <si>
    <t>Rettet fejl ved valg af tørret surdej samt diverse tastefejl. Tak Claus :)</t>
  </si>
  <si>
    <t>Tilsæt mel og rør det godt sammen til det hele er samlet godt.</t>
  </si>
  <si>
    <r>
      <t xml:space="preserve">Vito's poolish pizza </t>
    </r>
    <r>
      <rPr>
        <i/>
        <sz val="20"/>
        <color theme="1"/>
        <rFont val="Calibri"/>
        <family val="2"/>
        <scheme val="minor"/>
      </rPr>
      <t xml:space="preserve"> ( 3 varianter )</t>
    </r>
  </si>
  <si>
    <t>åååå-mm-dd tt:mm</t>
  </si>
  <si>
    <t xml:space="preserve"> Opskrift</t>
  </si>
  <si>
    <t>* Poolish kan fermentes op til 4 timer ved</t>
  </si>
  <si>
    <r>
      <t xml:space="preserve">Lad nu dejen bulk-hæve i </t>
    </r>
    <r>
      <rPr>
        <b/>
        <sz val="11"/>
        <color theme="1"/>
        <rFont val="Calibri"/>
        <family val="2"/>
        <scheme val="minor"/>
      </rPr>
      <t>1 time</t>
    </r>
    <r>
      <rPr>
        <sz val="11"/>
        <color theme="1"/>
        <rFont val="Calibri"/>
        <family val="2"/>
        <scheme val="minor"/>
      </rPr>
      <t xml:space="preserve"> ved stuetemperatur (placer den i en skål, som er let smurt med olivenolie).</t>
    </r>
  </si>
  <si>
    <r>
      <t xml:space="preserve">Tag poolish'en ud af køleskabet og lad den stå ved stuetemperatur i </t>
    </r>
    <r>
      <rPr>
        <b/>
        <sz val="11"/>
        <color theme="1"/>
        <rFont val="Calibri"/>
        <family val="2"/>
        <scheme val="minor"/>
      </rPr>
      <t>1 time</t>
    </r>
    <r>
      <rPr>
        <sz val="11"/>
        <color theme="1"/>
        <rFont val="Calibri"/>
        <family val="2"/>
        <scheme val="minor"/>
      </rPr>
      <t>.</t>
    </r>
  </si>
  <si>
    <r>
      <t xml:space="preserve">Lad det hæve i en lukket beholder (låg eller film) i </t>
    </r>
    <r>
      <rPr>
        <b/>
        <sz val="11"/>
        <color theme="1"/>
        <rFont val="Calibri"/>
        <family val="2"/>
        <scheme val="minor"/>
      </rPr>
      <t>1 time</t>
    </r>
    <r>
      <rPr>
        <sz val="11"/>
        <color theme="1"/>
        <rFont val="Calibri"/>
        <family val="2"/>
        <scheme val="minor"/>
      </rPr>
      <t>* ved stuetemperatur.</t>
    </r>
  </si>
  <si>
    <r>
      <t xml:space="preserve">Sæt poolishen (stadig i lukket beholder) i køleskabet i </t>
    </r>
    <r>
      <rPr>
        <b/>
        <sz val="11"/>
        <color theme="1"/>
        <rFont val="Calibri"/>
        <family val="2"/>
        <scheme val="minor"/>
      </rPr>
      <t>20-24 timer</t>
    </r>
    <r>
      <rPr>
        <sz val="11"/>
        <color theme="1"/>
        <rFont val="Calibri"/>
        <family val="2"/>
        <scheme val="minor"/>
      </rPr>
      <t xml:space="preserve"> (1. fermentering).</t>
    </r>
  </si>
  <si>
    <r>
      <t xml:space="preserve">Placer dem i en lukket kasse (hævekasse) og sæt dem på køl i ca. </t>
    </r>
    <r>
      <rPr>
        <b/>
        <sz val="11"/>
        <color theme="1"/>
        <rFont val="Calibri"/>
        <family val="2"/>
        <scheme val="minor"/>
      </rPr>
      <t>24 timer</t>
    </r>
    <r>
      <rPr>
        <sz val="11"/>
        <color theme="1"/>
        <rFont val="Calibri"/>
        <family val="2"/>
        <scheme val="minor"/>
      </rPr>
      <t xml:space="preserve"> (2. fermentering).</t>
    </r>
  </si>
  <si>
    <t>Tidspunkt hvor pizza skal i ovnen</t>
  </si>
  <si>
    <r>
      <t xml:space="preserve">Tag dejen ud. Form til pizza direkte fra køl  </t>
    </r>
    <r>
      <rPr>
        <i/>
        <sz val="11"/>
        <color theme="1"/>
        <rFont val="Calibri"/>
        <family val="2"/>
        <scheme val="minor"/>
      </rPr>
      <t>(er den svær at arbejde med, så lad den evt. temperere i en time)</t>
    </r>
    <r>
      <rPr>
        <sz val="11"/>
        <color theme="1"/>
        <rFont val="Calibri"/>
        <family val="2"/>
        <scheme val="minor"/>
      </rPr>
      <t>.</t>
    </r>
  </si>
  <si>
    <r>
      <t xml:space="preserve">  (</t>
    </r>
    <r>
      <rPr>
        <b/>
        <i/>
        <sz val="10"/>
        <color theme="1"/>
        <rFont val="Calibri"/>
        <family val="2"/>
        <scheme val="minor"/>
      </rPr>
      <t>OBS:</t>
    </r>
    <r>
      <rPr>
        <i/>
        <sz val="10"/>
        <color theme="1"/>
        <rFont val="Calibri"/>
        <family val="2"/>
        <scheme val="minor"/>
      </rPr>
      <t xml:space="preserve">  Er ikke påkrævet for opskriften!)</t>
    </r>
  </si>
  <si>
    <r>
      <t xml:space="preserve">Hvedesur </t>
    </r>
    <r>
      <rPr>
        <i/>
        <sz val="10.5"/>
        <color theme="1"/>
        <rFont val="Calibri"/>
        <family val="2"/>
        <scheme val="minor"/>
      </rPr>
      <t>(tørret surdej)</t>
    </r>
  </si>
  <si>
    <t>Tilføjet mulighed for udregning af starttidspunkter. Tak for input Steffen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</si>
</sst>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0.000"/>
    <numFmt numFmtId="167" formatCode="hh:mm;@"/>
    <numFmt numFmtId="168" formatCode="yyyy/mm/dd\ hh:mm;@"/>
    <numFmt numFmtId="169" formatCode="d\.m\.yy;@"/>
    <numFmt numFmtId="170" formatCode="dddd\ dd\/mm"/>
  </numFmts>
  <fonts count="56" x14ac:knownFonts="1">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i/>
      <sz val="11"/>
      <color theme="1"/>
      <name val="Calibri"/>
      <family val="2"/>
      <scheme val="minor"/>
    </font>
    <font>
      <b/>
      <sz val="11"/>
      <color theme="1"/>
      <name val="Calibri"/>
      <family val="2"/>
    </font>
    <font>
      <sz val="11"/>
      <name val="Calibri"/>
      <family val="2"/>
      <scheme val="minor"/>
    </font>
    <font>
      <b/>
      <sz val="14"/>
      <color theme="1"/>
      <name val="Calibri"/>
      <family val="2"/>
      <scheme val="minor"/>
    </font>
    <font>
      <b/>
      <sz val="11"/>
      <name val="Calibri"/>
      <family val="2"/>
      <scheme val="minor"/>
    </font>
    <font>
      <i/>
      <sz val="11"/>
      <name val="Calibri"/>
      <family val="2"/>
      <scheme val="minor"/>
    </font>
    <font>
      <sz val="10"/>
      <color theme="1"/>
      <name val="Calibri"/>
      <family val="2"/>
      <scheme val="minor"/>
    </font>
    <font>
      <i/>
      <sz val="10"/>
      <name val="Calibri"/>
      <family val="2"/>
      <scheme val="minor"/>
    </font>
    <font>
      <i/>
      <u/>
      <sz val="10"/>
      <color theme="10"/>
      <name val="Calibri"/>
      <family val="2"/>
      <scheme val="minor"/>
    </font>
    <font>
      <i/>
      <sz val="10"/>
      <color theme="1"/>
      <name val="Calibri"/>
      <family val="2"/>
      <scheme val="minor"/>
    </font>
    <font>
      <b/>
      <sz val="10.5"/>
      <name val="Calibri"/>
      <family val="2"/>
      <scheme val="minor"/>
    </font>
    <font>
      <b/>
      <sz val="10.5"/>
      <color theme="1"/>
      <name val="Calibri"/>
      <family val="2"/>
      <scheme val="minor"/>
    </font>
    <font>
      <sz val="10.5"/>
      <color theme="1"/>
      <name val="Calibri"/>
      <family val="2"/>
      <scheme val="minor"/>
    </font>
    <font>
      <sz val="10.5"/>
      <name val="Calibri"/>
      <family val="2"/>
      <scheme val="minor"/>
    </font>
    <font>
      <i/>
      <sz val="10.5"/>
      <color theme="1"/>
      <name val="Calibri"/>
      <family val="2"/>
      <scheme val="minor"/>
    </font>
    <font>
      <b/>
      <sz val="24"/>
      <color theme="1"/>
      <name val="Calibri"/>
      <family val="2"/>
      <scheme val="minor"/>
    </font>
    <font>
      <i/>
      <sz val="12"/>
      <color theme="1"/>
      <name val="Calibri"/>
      <family val="2"/>
      <scheme val="minor"/>
    </font>
    <font>
      <sz val="11"/>
      <color rgb="FF1C1E21"/>
      <name val="Calibri"/>
      <family val="2"/>
      <scheme val="minor"/>
    </font>
    <font>
      <i/>
      <sz val="11"/>
      <color rgb="FF1C1E21"/>
      <name val="Calibri"/>
      <family val="2"/>
      <scheme val="minor"/>
    </font>
    <font>
      <u/>
      <sz val="10"/>
      <color theme="10"/>
      <name val="Calibri"/>
      <family val="2"/>
      <scheme val="minor"/>
    </font>
    <font>
      <b/>
      <sz val="22"/>
      <color theme="1"/>
      <name val="Calibri"/>
      <family val="2"/>
      <scheme val="minor"/>
    </font>
    <font>
      <b/>
      <sz val="20"/>
      <color theme="1"/>
      <name val="Calibri"/>
      <family val="2"/>
      <scheme val="minor"/>
    </font>
    <font>
      <i/>
      <sz val="16"/>
      <color theme="1"/>
      <name val="Calibri"/>
      <family val="2"/>
      <scheme val="minor"/>
    </font>
    <font>
      <sz val="11"/>
      <color theme="1"/>
      <name val="Calibri"/>
      <family val="2"/>
    </font>
    <font>
      <sz val="11"/>
      <color rgb="FF241C14"/>
      <name val="Calibri"/>
      <family val="2"/>
      <scheme val="minor"/>
    </font>
    <font>
      <sz val="12"/>
      <color rgb="FF2962FF"/>
      <name val="Roboto"/>
    </font>
    <font>
      <sz val="11"/>
      <color rgb="FF000000"/>
      <name val="Arial"/>
      <family val="2"/>
    </font>
    <font>
      <sz val="11"/>
      <color rgb="FF000000"/>
      <name val="Calibri"/>
      <family val="2"/>
      <scheme val="minor"/>
    </font>
    <font>
      <sz val="8"/>
      <color rgb="FF000000"/>
      <name val="Open Sans"/>
      <family val="2"/>
    </font>
    <font>
      <u/>
      <sz val="11"/>
      <color theme="1"/>
      <name val="Calibri"/>
      <family val="2"/>
      <scheme val="minor"/>
    </font>
    <font>
      <sz val="7"/>
      <color rgb="FFFF0000"/>
      <name val="Verdana"/>
      <family val="2"/>
    </font>
    <font>
      <sz val="11"/>
      <color rgb="FF4D4D4D"/>
      <name val="Verdana"/>
      <family val="2"/>
    </font>
    <font>
      <sz val="8"/>
      <color theme="1"/>
      <name val="Open Sans"/>
      <family val="2"/>
    </font>
    <font>
      <i/>
      <u/>
      <sz val="11"/>
      <color theme="10"/>
      <name val="Calibri"/>
      <family val="2"/>
      <scheme val="minor"/>
    </font>
    <font>
      <b/>
      <sz val="10"/>
      <color theme="1"/>
      <name val="Calibri"/>
      <family val="2"/>
      <scheme val="minor"/>
    </font>
    <font>
      <b/>
      <u/>
      <sz val="14"/>
      <color theme="10"/>
      <name val="Calibri"/>
      <family val="2"/>
      <scheme val="minor"/>
    </font>
    <font>
      <i/>
      <sz val="9"/>
      <color theme="1"/>
      <name val="Calibri"/>
      <family val="2"/>
      <scheme val="minor"/>
    </font>
    <font>
      <b/>
      <i/>
      <sz val="10"/>
      <name val="Calibri"/>
      <family val="2"/>
      <scheme val="minor"/>
    </font>
    <font>
      <sz val="11"/>
      <color theme="1"/>
      <name val="Roboto"/>
    </font>
    <font>
      <b/>
      <i/>
      <sz val="11"/>
      <color theme="1"/>
      <name val="Calibri"/>
      <family val="2"/>
      <scheme val="minor"/>
    </font>
    <font>
      <b/>
      <i/>
      <sz val="12"/>
      <color theme="1"/>
      <name val="Calibri"/>
      <family val="2"/>
      <scheme val="minor"/>
    </font>
    <font>
      <sz val="10"/>
      <color rgb="FF000000"/>
      <name val="Arial"/>
      <family val="2"/>
    </font>
    <font>
      <sz val="10"/>
      <name val="Arial"/>
      <family val="2"/>
    </font>
    <font>
      <b/>
      <sz val="10"/>
      <name val="Arial"/>
      <family val="2"/>
    </font>
    <font>
      <i/>
      <sz val="10"/>
      <color rgb="FFFF0000"/>
      <name val="Calibri"/>
      <family val="2"/>
    </font>
    <font>
      <i/>
      <sz val="9"/>
      <color rgb="FFFF0000"/>
      <name val="Calibri"/>
      <family val="2"/>
      <scheme val="minor"/>
    </font>
    <font>
      <sz val="11.5"/>
      <color rgb="FF050505"/>
      <name val="Calibri"/>
      <family val="2"/>
      <scheme val="minor"/>
    </font>
    <font>
      <sz val="11"/>
      <color rgb="FF050505"/>
      <name val="Calibri"/>
      <family val="2"/>
      <scheme val="minor"/>
    </font>
    <font>
      <i/>
      <sz val="11.5"/>
      <color rgb="FF0000FF"/>
      <name val="Calibri"/>
      <family val="2"/>
      <scheme val="minor"/>
    </font>
    <font>
      <b/>
      <sz val="16"/>
      <color theme="1"/>
      <name val="Calibri"/>
      <family val="2"/>
      <scheme val="minor"/>
    </font>
    <font>
      <i/>
      <sz val="20"/>
      <color theme="1"/>
      <name val="Calibri"/>
      <family val="2"/>
      <scheme val="minor"/>
    </font>
    <font>
      <b/>
      <i/>
      <sz val="10"/>
      <color theme="1"/>
      <name val="Calibri"/>
      <family val="2"/>
      <scheme val="minor"/>
    </font>
  </fonts>
  <fills count="10">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FFFFCC"/>
        <bgColor indexed="64"/>
      </patternFill>
    </fill>
    <fill>
      <patternFill patternType="solid">
        <fgColor theme="4" tint="0.79998168889431442"/>
        <bgColor indexed="64"/>
      </patternFill>
    </fill>
    <fill>
      <patternFill patternType="solid">
        <fgColor rgb="FFFF0000"/>
        <bgColor indexed="64"/>
      </patternFill>
    </fill>
  </fills>
  <borders count="25">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theme="0" tint="-0.14999847407452621"/>
      </bottom>
      <diagonal/>
    </border>
    <border>
      <left/>
      <right/>
      <top/>
      <bottom style="thin">
        <color theme="0" tint="-0.1499984740745262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theme="0" tint="-0.249977111117893"/>
      </bottom>
      <diagonal/>
    </border>
    <border>
      <left style="thin">
        <color indexed="64"/>
      </left>
      <right style="thin">
        <color indexed="64"/>
      </right>
      <top/>
      <bottom/>
      <diagonal/>
    </border>
    <border>
      <left/>
      <right style="thin">
        <color indexed="64"/>
      </right>
      <top style="thin">
        <color theme="0" tint="-0.249977111117893"/>
      </top>
      <bottom style="thin">
        <color theme="0" tint="-0.249977111117893"/>
      </bottom>
      <diagonal/>
    </border>
    <border>
      <left style="thin">
        <color indexed="64"/>
      </left>
      <right/>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theme="0" tint="-0.249977111117893"/>
      </bottom>
      <diagonal/>
    </border>
    <border>
      <left/>
      <right style="thin">
        <color theme="0" tint="-0.499984740745262"/>
      </right>
      <top/>
      <bottom/>
      <diagonal/>
    </border>
    <border>
      <left/>
      <right style="thin">
        <color theme="0" tint="-0.499984740745262"/>
      </right>
      <top/>
      <bottom style="thin">
        <color indexed="64"/>
      </bottom>
      <diagonal/>
    </border>
    <border>
      <left/>
      <right style="thin">
        <color indexed="64"/>
      </right>
      <top style="thin">
        <color theme="0" tint="-0.249977111117893"/>
      </top>
      <bottom style="thin">
        <color indexed="64"/>
      </bottom>
      <diagonal/>
    </border>
  </borders>
  <cellStyleXfs count="3">
    <xf numFmtId="0" fontId="0" fillId="0" borderId="0"/>
    <xf numFmtId="0" fontId="3" fillId="0" borderId="0" applyNumberFormat="0" applyFill="0" applyBorder="0" applyAlignment="0" applyProtection="0"/>
    <xf numFmtId="0" fontId="45" fillId="0" borderId="0"/>
  </cellStyleXfs>
  <cellXfs count="489">
    <xf numFmtId="0" fontId="0" fillId="0" borderId="0" xfId="0"/>
    <xf numFmtId="0" fontId="0" fillId="0" borderId="0" xfId="0" applyBorder="1"/>
    <xf numFmtId="0" fontId="0" fillId="0" borderId="0" xfId="0" applyAlignment="1">
      <alignment horizontal="right"/>
    </xf>
    <xf numFmtId="0" fontId="0" fillId="3" borderId="5" xfId="0" applyFill="1" applyBorder="1"/>
    <xf numFmtId="0" fontId="0" fillId="3" borderId="7" xfId="0" applyFill="1" applyBorder="1"/>
    <xf numFmtId="9" fontId="0" fillId="3" borderId="7" xfId="0" applyNumberFormat="1" applyFill="1" applyBorder="1" applyAlignment="1">
      <alignment horizontal="center"/>
    </xf>
    <xf numFmtId="0" fontId="4" fillId="3" borderId="7" xfId="0" applyFont="1" applyFill="1" applyBorder="1"/>
    <xf numFmtId="9" fontId="4" fillId="3" borderId="7" xfId="0" applyNumberFormat="1" applyFont="1" applyFill="1" applyBorder="1" applyAlignment="1">
      <alignment horizontal="center"/>
    </xf>
    <xf numFmtId="0" fontId="0" fillId="3" borderId="7" xfId="0" applyFill="1" applyBorder="1" applyAlignment="1">
      <alignment horizontal="right"/>
    </xf>
    <xf numFmtId="0" fontId="0" fillId="3" borderId="6" xfId="0" applyFill="1" applyBorder="1"/>
    <xf numFmtId="0" fontId="0" fillId="3" borderId="0" xfId="0" applyFill="1" applyBorder="1"/>
    <xf numFmtId="0" fontId="0" fillId="3" borderId="4" xfId="0" applyFill="1" applyBorder="1"/>
    <xf numFmtId="0" fontId="0" fillId="3" borderId="3" xfId="0" applyFill="1" applyBorder="1"/>
    <xf numFmtId="0" fontId="0" fillId="3" borderId="1" xfId="0" applyFill="1" applyBorder="1"/>
    <xf numFmtId="0" fontId="0" fillId="3" borderId="8" xfId="0" applyFill="1" applyBorder="1"/>
    <xf numFmtId="0" fontId="0" fillId="3" borderId="8" xfId="0" applyFill="1" applyBorder="1" applyAlignment="1">
      <alignment horizontal="right"/>
    </xf>
    <xf numFmtId="0" fontId="0" fillId="3" borderId="2" xfId="0" applyFill="1" applyBorder="1"/>
    <xf numFmtId="0" fontId="0" fillId="3" borderId="0" xfId="0" applyFill="1" applyBorder="1" applyAlignment="1">
      <alignment horizontal="right"/>
    </xf>
    <xf numFmtId="164" fontId="0" fillId="3" borderId="4" xfId="0" applyNumberFormat="1" applyFill="1" applyBorder="1"/>
    <xf numFmtId="0" fontId="0" fillId="3" borderId="0" xfId="0" applyFill="1" applyBorder="1" applyAlignment="1">
      <alignment horizontal="center" vertical="center"/>
    </xf>
    <xf numFmtId="0" fontId="0" fillId="4" borderId="0" xfId="0" applyFill="1"/>
    <xf numFmtId="0" fontId="0" fillId="4" borderId="0" xfId="0" applyFill="1" applyAlignment="1">
      <alignment horizontal="right"/>
    </xf>
    <xf numFmtId="0" fontId="0" fillId="3" borderId="3" xfId="0" applyFont="1" applyFill="1" applyBorder="1"/>
    <xf numFmtId="0" fontId="0" fillId="3" borderId="4" xfId="0" applyFill="1" applyBorder="1" applyAlignment="1">
      <alignment vertical="center"/>
    </xf>
    <xf numFmtId="0" fontId="0" fillId="3" borderId="3" xfId="0" applyFont="1" applyFill="1" applyBorder="1" applyAlignment="1">
      <alignment horizontal="left" vertical="center" indent="2"/>
    </xf>
    <xf numFmtId="0" fontId="0" fillId="3" borderId="5" xfId="0" applyFont="1" applyFill="1" applyBorder="1"/>
    <xf numFmtId="0" fontId="4" fillId="3" borderId="6" xfId="0" applyFont="1" applyFill="1" applyBorder="1" applyAlignment="1">
      <alignment horizontal="right"/>
    </xf>
    <xf numFmtId="0" fontId="0" fillId="3" borderId="0" xfId="0" applyFont="1" applyFill="1" applyBorder="1"/>
    <xf numFmtId="0" fontId="0" fillId="3" borderId="7" xfId="0" applyFont="1" applyFill="1" applyBorder="1"/>
    <xf numFmtId="9" fontId="0" fillId="3" borderId="4" xfId="0" applyNumberFormat="1" applyFill="1" applyBorder="1" applyAlignment="1">
      <alignment horizontal="center" vertical="center"/>
    </xf>
    <xf numFmtId="164" fontId="0" fillId="3" borderId="4" xfId="0" applyNumberFormat="1" applyFill="1" applyBorder="1" applyAlignment="1">
      <alignment horizontal="center" vertical="center"/>
    </xf>
    <xf numFmtId="164" fontId="0" fillId="3" borderId="6" xfId="0" applyNumberFormat="1" applyFill="1" applyBorder="1" applyAlignment="1">
      <alignment horizontal="center" vertical="center"/>
    </xf>
    <xf numFmtId="9" fontId="0" fillId="3" borderId="4" xfId="0" applyNumberFormat="1" applyFill="1" applyBorder="1" applyAlignment="1">
      <alignment horizontal="center"/>
    </xf>
    <xf numFmtId="0" fontId="2" fillId="3" borderId="0" xfId="0" applyFont="1" applyFill="1" applyBorder="1"/>
    <xf numFmtId="1" fontId="0" fillId="3" borderId="3" xfId="0" applyNumberFormat="1" applyFont="1" applyFill="1" applyBorder="1"/>
    <xf numFmtId="0" fontId="1" fillId="4" borderId="0" xfId="0" applyFont="1" applyFill="1" applyAlignment="1">
      <alignment horizontal="right"/>
    </xf>
    <xf numFmtId="0" fontId="2" fillId="3" borderId="7" xfId="0" applyFont="1" applyFill="1" applyBorder="1"/>
    <xf numFmtId="0" fontId="0" fillId="4" borderId="0" xfId="0" applyFont="1" applyFill="1"/>
    <xf numFmtId="0" fontId="2" fillId="4" borderId="0" xfId="0" applyFont="1" applyFill="1" applyAlignment="1">
      <alignment horizontal="left" vertical="center"/>
    </xf>
    <xf numFmtId="0" fontId="0" fillId="3" borderId="3" xfId="0" applyFill="1" applyBorder="1" applyAlignment="1">
      <alignment vertical="center"/>
    </xf>
    <xf numFmtId="0" fontId="1" fillId="3" borderId="4" xfId="0" applyFont="1" applyFill="1" applyBorder="1" applyAlignment="1">
      <alignment vertical="center"/>
    </xf>
    <xf numFmtId="0" fontId="0" fillId="4" borderId="0" xfId="0" applyFill="1" applyAlignment="1">
      <alignment vertical="center"/>
    </xf>
    <xf numFmtId="0" fontId="0" fillId="3" borderId="3" xfId="0" applyFont="1" applyFill="1" applyBorder="1" applyAlignment="1">
      <alignment vertical="center"/>
    </xf>
    <xf numFmtId="0" fontId="2" fillId="3" borderId="0" xfId="0" applyFont="1" applyFill="1" applyBorder="1" applyAlignment="1">
      <alignment vertical="center"/>
    </xf>
    <xf numFmtId="0" fontId="0" fillId="3" borderId="8" xfId="0" applyFont="1" applyFill="1" applyBorder="1"/>
    <xf numFmtId="0" fontId="5" fillId="3" borderId="0" xfId="0" applyFont="1" applyFill="1" applyBorder="1" applyAlignment="1">
      <alignment horizontal="center"/>
    </xf>
    <xf numFmtId="0" fontId="10" fillId="3" borderId="0" xfId="0" applyFont="1" applyFill="1" applyBorder="1"/>
    <xf numFmtId="0" fontId="0" fillId="3" borderId="1" xfId="0" applyFont="1" applyFill="1" applyBorder="1"/>
    <xf numFmtId="0" fontId="13" fillId="3" borderId="0" xfId="0" applyFont="1" applyFill="1" applyBorder="1" applyAlignment="1">
      <alignment vertical="center"/>
    </xf>
    <xf numFmtId="0" fontId="4" fillId="3" borderId="0" xfId="0" applyFont="1" applyFill="1" applyBorder="1"/>
    <xf numFmtId="0" fontId="0" fillId="3" borderId="10" xfId="0" applyFill="1" applyBorder="1"/>
    <xf numFmtId="0" fontId="15" fillId="3" borderId="0" xfId="0" applyFont="1" applyFill="1" applyBorder="1" applyAlignment="1">
      <alignment horizontal="center" vertical="center"/>
    </xf>
    <xf numFmtId="0" fontId="16" fillId="3" borderId="0" xfId="0" applyFont="1" applyFill="1" applyBorder="1" applyAlignment="1">
      <alignment vertical="center"/>
    </xf>
    <xf numFmtId="0" fontId="17" fillId="3" borderId="3" xfId="0" applyFont="1" applyFill="1" applyBorder="1" applyAlignment="1">
      <alignment horizontal="left" indent="2"/>
    </xf>
    <xf numFmtId="0" fontId="16" fillId="3" borderId="0" xfId="0" applyFont="1" applyFill="1" applyBorder="1"/>
    <xf numFmtId="9" fontId="17" fillId="3" borderId="4" xfId="0" applyNumberFormat="1" applyFont="1" applyFill="1" applyBorder="1" applyAlignment="1">
      <alignment horizontal="center"/>
    </xf>
    <xf numFmtId="9" fontId="16" fillId="3" borderId="0" xfId="0" applyNumberFormat="1" applyFont="1" applyFill="1" applyBorder="1" applyAlignment="1">
      <alignment horizontal="center"/>
    </xf>
    <xf numFmtId="0" fontId="16" fillId="3" borderId="3" xfId="0" applyFont="1" applyFill="1" applyBorder="1"/>
    <xf numFmtId="165" fontId="16" fillId="3" borderId="3" xfId="0" applyNumberFormat="1" applyFont="1" applyFill="1" applyBorder="1"/>
    <xf numFmtId="0" fontId="16" fillId="3" borderId="7" xfId="0" applyFont="1" applyFill="1" applyBorder="1"/>
    <xf numFmtId="165" fontId="16" fillId="3" borderId="5" xfId="0" applyNumberFormat="1" applyFont="1" applyFill="1" applyBorder="1"/>
    <xf numFmtId="9" fontId="18" fillId="3" borderId="6" xfId="0" applyNumberFormat="1" applyFont="1" applyFill="1" applyBorder="1" applyAlignment="1">
      <alignment horizontal="center"/>
    </xf>
    <xf numFmtId="1" fontId="9" fillId="3" borderId="5" xfId="0" applyNumberFormat="1" applyFont="1" applyFill="1" applyBorder="1" applyAlignment="1">
      <alignment horizontal="right"/>
    </xf>
    <xf numFmtId="0" fontId="0" fillId="3" borderId="0" xfId="0" applyFont="1" applyFill="1" applyBorder="1" applyAlignment="1">
      <alignment horizontal="left" vertical="center"/>
    </xf>
    <xf numFmtId="0" fontId="6" fillId="3" borderId="0" xfId="1" applyFont="1" applyFill="1" applyBorder="1"/>
    <xf numFmtId="0" fontId="2" fillId="4" borderId="1" xfId="0" applyFont="1" applyFill="1" applyBorder="1" applyAlignment="1">
      <alignment horizontal="left" indent="1"/>
    </xf>
    <xf numFmtId="0" fontId="0" fillId="4" borderId="8" xfId="0" applyFill="1" applyBorder="1"/>
    <xf numFmtId="0" fontId="0" fillId="3" borderId="0" xfId="0" applyFill="1"/>
    <xf numFmtId="9" fontId="0" fillId="3" borderId="4" xfId="0" applyNumberFormat="1" applyFill="1" applyBorder="1"/>
    <xf numFmtId="0" fontId="4" fillId="4" borderId="0" xfId="0" applyFont="1" applyFill="1" applyAlignment="1">
      <alignment horizontal="right"/>
    </xf>
    <xf numFmtId="9" fontId="4" fillId="4" borderId="2" xfId="0" applyNumberFormat="1" applyFont="1" applyFill="1" applyBorder="1" applyAlignment="1">
      <alignment horizontal="right" indent="1"/>
    </xf>
    <xf numFmtId="0" fontId="2" fillId="6" borderId="1" xfId="0" applyFont="1" applyFill="1" applyBorder="1" applyAlignment="1">
      <alignment horizontal="left" indent="1"/>
    </xf>
    <xf numFmtId="0" fontId="0" fillId="6" borderId="2" xfId="0" applyFill="1" applyBorder="1"/>
    <xf numFmtId="0" fontId="0" fillId="6" borderId="8" xfId="0" applyFill="1" applyBorder="1"/>
    <xf numFmtId="3" fontId="0" fillId="3" borderId="3" xfId="0" applyNumberFormat="1" applyFill="1" applyBorder="1"/>
    <xf numFmtId="9" fontId="0" fillId="5" borderId="4" xfId="0" applyNumberFormat="1" applyFill="1" applyBorder="1" applyProtection="1">
      <protection locked="0"/>
    </xf>
    <xf numFmtId="164" fontId="0" fillId="5" borderId="4" xfId="0" applyNumberFormat="1" applyFill="1" applyBorder="1" applyProtection="1">
      <protection locked="0"/>
    </xf>
    <xf numFmtId="0" fontId="0" fillId="3" borderId="0" xfId="0" applyFill="1" applyAlignment="1">
      <alignment horizontal="left" vertical="center" indent="1"/>
    </xf>
    <xf numFmtId="0" fontId="2" fillId="6" borderId="1" xfId="0" applyFont="1" applyFill="1" applyBorder="1" applyAlignment="1">
      <alignment horizontal="left" vertical="center" indent="1"/>
    </xf>
    <xf numFmtId="0" fontId="2" fillId="6" borderId="8" xfId="0" applyFont="1" applyFill="1" applyBorder="1" applyAlignment="1">
      <alignment vertical="center"/>
    </xf>
    <xf numFmtId="3" fontId="2" fillId="6" borderId="2" xfId="0" applyNumberFormat="1" applyFont="1" applyFill="1" applyBorder="1" applyAlignment="1">
      <alignment horizontal="center" vertical="center"/>
    </xf>
    <xf numFmtId="0" fontId="2" fillId="6" borderId="8" xfId="0" applyFont="1" applyFill="1" applyBorder="1" applyAlignment="1">
      <alignment horizontal="left" vertical="center"/>
    </xf>
    <xf numFmtId="9" fontId="0" fillId="6" borderId="2" xfId="0" applyNumberFormat="1" applyFont="1" applyFill="1" applyBorder="1" applyAlignment="1">
      <alignment horizontal="center" vertical="center"/>
    </xf>
    <xf numFmtId="0" fontId="13" fillId="6" borderId="1" xfId="0" applyFont="1" applyFill="1" applyBorder="1" applyAlignment="1">
      <alignment horizontal="left" vertical="center" indent="1"/>
    </xf>
    <xf numFmtId="0" fontId="0" fillId="6" borderId="2" xfId="0" applyFill="1" applyBorder="1" applyAlignment="1">
      <alignment horizontal="right"/>
    </xf>
    <xf numFmtId="0" fontId="13" fillId="6" borderId="3" xfId="0" applyFont="1" applyFill="1" applyBorder="1" applyAlignment="1">
      <alignment horizontal="left" vertical="center" indent="1"/>
    </xf>
    <xf numFmtId="0" fontId="0" fillId="6" borderId="4" xfId="0" applyFill="1" applyBorder="1" applyAlignment="1">
      <alignment horizontal="right"/>
    </xf>
    <xf numFmtId="0" fontId="13" fillId="6" borderId="5" xfId="0" applyFont="1" applyFill="1" applyBorder="1" applyAlignment="1">
      <alignment horizontal="left" vertical="center" indent="1"/>
    </xf>
    <xf numFmtId="0" fontId="0" fillId="6" borderId="6" xfId="0" applyFill="1" applyBorder="1" applyAlignment="1">
      <alignment horizontal="right"/>
    </xf>
    <xf numFmtId="0" fontId="14" fillId="4" borderId="1" xfId="0" applyFont="1" applyFill="1" applyBorder="1" applyAlignment="1">
      <alignment horizontal="left" vertical="center" indent="1"/>
    </xf>
    <xf numFmtId="0" fontId="15" fillId="4" borderId="8" xfId="0" applyFont="1" applyFill="1" applyBorder="1" applyAlignment="1">
      <alignment vertical="center"/>
    </xf>
    <xf numFmtId="0" fontId="15" fillId="4" borderId="2" xfId="0" applyFont="1" applyFill="1" applyBorder="1" applyAlignment="1">
      <alignment horizontal="center" vertical="center"/>
    </xf>
    <xf numFmtId="0" fontId="10" fillId="6" borderId="1" xfId="0" applyFont="1" applyFill="1" applyBorder="1" applyAlignment="1">
      <alignment horizontal="left" vertical="center" indent="1"/>
    </xf>
    <xf numFmtId="0" fontId="0" fillId="6" borderId="8" xfId="0" applyFill="1" applyBorder="1" applyAlignment="1">
      <alignment horizontal="left" indent="1"/>
    </xf>
    <xf numFmtId="0" fontId="10" fillId="6" borderId="5" xfId="0" applyFont="1" applyFill="1" applyBorder="1" applyAlignment="1">
      <alignment horizontal="left" vertical="center" indent="1"/>
    </xf>
    <xf numFmtId="0" fontId="0" fillId="6" borderId="7" xfId="0" applyFill="1" applyBorder="1"/>
    <xf numFmtId="0" fontId="0" fillId="6" borderId="6" xfId="0" applyFill="1" applyBorder="1"/>
    <xf numFmtId="0" fontId="10" fillId="6" borderId="11" xfId="0" applyFont="1" applyFill="1" applyBorder="1" applyAlignment="1">
      <alignment horizontal="left" vertical="center" indent="1"/>
    </xf>
    <xf numFmtId="0" fontId="0" fillId="6" borderId="12" xfId="0" applyFill="1" applyBorder="1" applyAlignment="1">
      <alignment horizontal="left" indent="1"/>
    </xf>
    <xf numFmtId="0" fontId="0" fillId="6" borderId="13" xfId="0" applyFill="1" applyBorder="1"/>
    <xf numFmtId="1" fontId="0" fillId="2" borderId="4" xfId="0" applyNumberFormat="1" applyFill="1" applyBorder="1" applyAlignment="1" applyProtection="1">
      <alignment horizontal="center"/>
      <protection locked="0"/>
    </xf>
    <xf numFmtId="0" fontId="0" fillId="0" borderId="0" xfId="0" applyFont="1" applyAlignment="1">
      <alignment horizontal="center" vertical="top"/>
    </xf>
    <xf numFmtId="0" fontId="0" fillId="0" borderId="0" xfId="0" applyFont="1" applyAlignment="1">
      <alignment wrapText="1"/>
    </xf>
    <xf numFmtId="0" fontId="0" fillId="0" borderId="0" xfId="0" applyFont="1" applyAlignment="1">
      <alignment horizontal="center"/>
    </xf>
    <xf numFmtId="0" fontId="6" fillId="0" borderId="0" xfId="1" applyFont="1" applyAlignment="1">
      <alignment wrapText="1"/>
    </xf>
    <xf numFmtId="0" fontId="0" fillId="3" borderId="0" xfId="0" applyFont="1" applyFill="1" applyAlignment="1">
      <alignment horizontal="center" vertical="top"/>
    </xf>
    <xf numFmtId="0" fontId="0" fillId="3" borderId="0" xfId="0" applyFont="1" applyFill="1" applyAlignment="1">
      <alignment wrapText="1"/>
    </xf>
    <xf numFmtId="0" fontId="0" fillId="0" borderId="0" xfId="0" applyFont="1"/>
    <xf numFmtId="0" fontId="0" fillId="3" borderId="0" xfId="0" applyFont="1" applyFill="1"/>
    <xf numFmtId="0" fontId="21" fillId="3" borderId="0" xfId="0" applyFont="1" applyFill="1" applyAlignment="1">
      <alignment horizontal="left" vertical="center" readingOrder="1"/>
    </xf>
    <xf numFmtId="0" fontId="22" fillId="3" borderId="0" xfId="0" applyFont="1" applyFill="1" applyAlignment="1">
      <alignment horizontal="left" vertical="center" readingOrder="1"/>
    </xf>
    <xf numFmtId="0" fontId="4" fillId="3" borderId="0" xfId="0" applyFont="1" applyFill="1" applyBorder="1" applyAlignment="1">
      <alignment vertical="center"/>
    </xf>
    <xf numFmtId="0" fontId="2" fillId="3" borderId="0" xfId="0" applyFont="1" applyFill="1" applyAlignment="1">
      <alignment horizontal="left" vertical="top"/>
    </xf>
    <xf numFmtId="0" fontId="2" fillId="3" borderId="0" xfId="0" applyFont="1" applyFill="1"/>
    <xf numFmtId="0" fontId="0" fillId="4" borderId="0" xfId="0" applyFill="1" applyBorder="1"/>
    <xf numFmtId="0" fontId="27" fillId="3" borderId="0" xfId="0" applyFont="1" applyFill="1" applyBorder="1" applyAlignment="1">
      <alignment horizontal="center"/>
    </xf>
    <xf numFmtId="0" fontId="27" fillId="3" borderId="0" xfId="0" applyFont="1" applyFill="1" applyBorder="1" applyAlignment="1">
      <alignment horizontal="center" vertical="center"/>
    </xf>
    <xf numFmtId="0" fontId="0" fillId="3" borderId="0" xfId="0" applyFont="1" applyFill="1" applyAlignment="1">
      <alignment horizontal="center" vertical="center"/>
    </xf>
    <xf numFmtId="0" fontId="0" fillId="3" borderId="0" xfId="0" applyFill="1" applyAlignment="1">
      <alignment horizontal="center" vertical="center"/>
    </xf>
    <xf numFmtId="0" fontId="0" fillId="2" borderId="9" xfId="0" applyFill="1" applyBorder="1" applyAlignment="1" applyProtection="1">
      <alignment horizontal="center"/>
      <protection locked="0"/>
    </xf>
    <xf numFmtId="0" fontId="6" fillId="3" borderId="0" xfId="1" applyFont="1" applyFill="1" applyAlignment="1">
      <alignment horizontal="left" wrapText="1"/>
    </xf>
    <xf numFmtId="0" fontId="28" fillId="0" borderId="0" xfId="0" applyFont="1" applyAlignment="1">
      <alignment horizontal="left" vertical="center" wrapText="1"/>
    </xf>
    <xf numFmtId="0" fontId="0" fillId="3" borderId="8" xfId="0" applyFont="1" applyFill="1" applyBorder="1" applyAlignment="1">
      <alignment horizontal="right"/>
    </xf>
    <xf numFmtId="0" fontId="0" fillId="3" borderId="2" xfId="0" applyFont="1" applyFill="1" applyBorder="1"/>
    <xf numFmtId="0" fontId="0" fillId="3" borderId="0" xfId="0" applyFont="1" applyFill="1" applyBorder="1" applyAlignment="1">
      <alignment horizontal="right"/>
    </xf>
    <xf numFmtId="0" fontId="0" fillId="3" borderId="4" xfId="0" applyFont="1" applyFill="1" applyBorder="1"/>
    <xf numFmtId="0" fontId="0" fillId="3" borderId="7" xfId="0" applyFont="1" applyFill="1" applyBorder="1" applyAlignment="1">
      <alignment horizontal="right"/>
    </xf>
    <xf numFmtId="0" fontId="0" fillId="3" borderId="6" xfId="0" applyFont="1" applyFill="1" applyBorder="1"/>
    <xf numFmtId="0" fontId="0" fillId="3" borderId="0" xfId="0" applyFont="1" applyFill="1" applyAlignment="1">
      <alignment horizontal="left"/>
    </xf>
    <xf numFmtId="0" fontId="2" fillId="3" borderId="8" xfId="0" applyFont="1" applyFill="1" applyBorder="1"/>
    <xf numFmtId="0" fontId="31" fillId="3" borderId="0" xfId="0" applyFont="1" applyFill="1" applyBorder="1" applyAlignment="1">
      <alignment vertical="center"/>
    </xf>
    <xf numFmtId="0" fontId="29" fillId="3" borderId="0" xfId="0" applyFont="1" applyFill="1" applyBorder="1"/>
    <xf numFmtId="0" fontId="33" fillId="3" borderId="0" xfId="0" applyFont="1" applyFill="1" applyBorder="1"/>
    <xf numFmtId="0" fontId="32" fillId="3" borderId="0" xfId="0" applyFont="1" applyFill="1"/>
    <xf numFmtId="0" fontId="30" fillId="3" borderId="0" xfId="0" applyFont="1" applyFill="1" applyBorder="1"/>
    <xf numFmtId="0" fontId="34" fillId="3" borderId="0" xfId="0" applyFont="1" applyFill="1" applyBorder="1"/>
    <xf numFmtId="0" fontId="35" fillId="3" borderId="0" xfId="0" applyFont="1" applyFill="1" applyBorder="1"/>
    <xf numFmtId="0" fontId="36" fillId="3" borderId="0" xfId="0" applyFont="1" applyFill="1" applyBorder="1"/>
    <xf numFmtId="165" fontId="0" fillId="3" borderId="5" xfId="0" applyNumberFormat="1" applyFill="1" applyBorder="1"/>
    <xf numFmtId="10" fontId="0" fillId="5" borderId="6" xfId="0" applyNumberFormat="1" applyFill="1" applyBorder="1" applyAlignment="1" applyProtection="1">
      <alignment horizontal="right"/>
      <protection locked="0"/>
    </xf>
    <xf numFmtId="0" fontId="7" fillId="3" borderId="8" xfId="0" applyFont="1" applyFill="1" applyBorder="1" applyAlignment="1">
      <alignment vertical="center"/>
    </xf>
    <xf numFmtId="0" fontId="0" fillId="3" borderId="3" xfId="0" applyFill="1" applyBorder="1" applyAlignment="1">
      <alignment horizontal="left" indent="2"/>
    </xf>
    <xf numFmtId="0" fontId="0" fillId="3" borderId="10" xfId="0" applyFont="1" applyFill="1" applyBorder="1"/>
    <xf numFmtId="0" fontId="17" fillId="3" borderId="0" xfId="0" applyFont="1" applyFill="1" applyBorder="1" applyAlignment="1">
      <alignment vertical="center"/>
    </xf>
    <xf numFmtId="0" fontId="17" fillId="3" borderId="7" xfId="0" applyFont="1" applyFill="1" applyBorder="1" applyAlignment="1">
      <alignment vertical="center"/>
    </xf>
    <xf numFmtId="0" fontId="17" fillId="3" borderId="3" xfId="0" applyFont="1" applyFill="1" applyBorder="1" applyAlignment="1">
      <alignment horizontal="left" vertical="center" indent="2"/>
    </xf>
    <xf numFmtId="0" fontId="17" fillId="3" borderId="5" xfId="0" applyFont="1" applyFill="1" applyBorder="1" applyAlignment="1">
      <alignment horizontal="left" vertical="center" indent="2"/>
    </xf>
    <xf numFmtId="9" fontId="17" fillId="3" borderId="4" xfId="0" applyNumberFormat="1" applyFont="1" applyFill="1" applyBorder="1" applyAlignment="1" applyProtection="1">
      <alignment horizontal="center"/>
    </xf>
    <xf numFmtId="1" fontId="16" fillId="3" borderId="3" xfId="0" applyNumberFormat="1" applyFont="1" applyFill="1" applyBorder="1"/>
    <xf numFmtId="164" fontId="17" fillId="3" borderId="6" xfId="0" applyNumberFormat="1" applyFont="1" applyFill="1" applyBorder="1" applyAlignment="1" applyProtection="1">
      <alignment horizontal="center"/>
      <protection locked="0"/>
    </xf>
    <xf numFmtId="2" fontId="0" fillId="3" borderId="7" xfId="0" applyNumberFormat="1" applyFill="1" applyBorder="1" applyAlignment="1">
      <alignment horizontal="center"/>
    </xf>
    <xf numFmtId="0" fontId="0" fillId="0" borderId="0" xfId="0" applyFill="1"/>
    <xf numFmtId="0" fontId="0" fillId="0" borderId="0" xfId="0" applyFill="1" applyAlignment="1">
      <alignment vertical="center"/>
    </xf>
    <xf numFmtId="9" fontId="0" fillId="0" borderId="0" xfId="0" applyNumberFormat="1" applyFill="1"/>
    <xf numFmtId="1" fontId="0" fillId="3" borderId="7" xfId="0" applyNumberFormat="1" applyFill="1" applyBorder="1"/>
    <xf numFmtId="3" fontId="0" fillId="3" borderId="4" xfId="0" applyNumberFormat="1" applyFill="1" applyBorder="1" applyAlignment="1">
      <alignment horizontal="center"/>
    </xf>
    <xf numFmtId="3" fontId="0" fillId="4" borderId="0" xfId="0" applyNumberFormat="1" applyFill="1" applyAlignment="1">
      <alignment horizontal="center"/>
    </xf>
    <xf numFmtId="165" fontId="0" fillId="3" borderId="3" xfId="0" applyNumberFormat="1" applyFont="1" applyFill="1" applyBorder="1" applyAlignment="1">
      <alignment horizontal="right"/>
    </xf>
    <xf numFmtId="0" fontId="0" fillId="3" borderId="5" xfId="0" applyFont="1" applyFill="1" applyBorder="1" applyAlignment="1">
      <alignment horizontal="left" indent="2"/>
    </xf>
    <xf numFmtId="0" fontId="0" fillId="3" borderId="15" xfId="0" applyFill="1" applyBorder="1"/>
    <xf numFmtId="164" fontId="0" fillId="3" borderId="4" xfId="0" applyNumberFormat="1" applyFill="1" applyBorder="1" applyAlignment="1">
      <alignment horizontal="center"/>
    </xf>
    <xf numFmtId="1" fontId="0" fillId="3" borderId="3" xfId="0" applyNumberFormat="1" applyFill="1" applyBorder="1" applyAlignment="1">
      <alignment horizontal="right"/>
    </xf>
    <xf numFmtId="1" fontId="17" fillId="3" borderId="3" xfId="0" applyNumberFormat="1" applyFont="1" applyFill="1" applyBorder="1" applyAlignment="1">
      <alignment horizontal="right"/>
    </xf>
    <xf numFmtId="0" fontId="0" fillId="3" borderId="0" xfId="0" applyFill="1" applyBorder="1" applyAlignment="1">
      <alignment horizontal="left" vertical="center" indent="2"/>
    </xf>
    <xf numFmtId="0" fontId="0" fillId="4" borderId="2" xfId="0" applyFill="1" applyBorder="1"/>
    <xf numFmtId="0" fontId="4" fillId="3" borderId="6" xfId="0" applyFont="1" applyFill="1" applyBorder="1"/>
    <xf numFmtId="3" fontId="0" fillId="3" borderId="5" xfId="0" applyNumberFormat="1" applyFill="1" applyBorder="1"/>
    <xf numFmtId="3" fontId="0" fillId="3" borderId="3" xfId="0" applyNumberFormat="1" applyFill="1" applyBorder="1" applyAlignment="1">
      <alignment horizontal="right"/>
    </xf>
    <xf numFmtId="3" fontId="4" fillId="3" borderId="5" xfId="0" applyNumberFormat="1" applyFont="1" applyFill="1" applyBorder="1"/>
    <xf numFmtId="0" fontId="0" fillId="2" borderId="14" xfId="0" applyFill="1" applyBorder="1" applyAlignment="1" applyProtection="1">
      <alignment horizontal="center"/>
      <protection locked="0"/>
    </xf>
    <xf numFmtId="1" fontId="0" fillId="2" borderId="16" xfId="0" applyNumberFormat="1" applyFill="1" applyBorder="1" applyAlignment="1" applyProtection="1">
      <alignment horizontal="center"/>
      <protection locked="0"/>
    </xf>
    <xf numFmtId="0" fontId="10" fillId="0" borderId="0" xfId="0" applyFont="1"/>
    <xf numFmtId="0" fontId="10" fillId="3" borderId="0" xfId="0" applyFont="1" applyFill="1"/>
    <xf numFmtId="0" fontId="10" fillId="3" borderId="0" xfId="0" applyFont="1" applyFill="1" applyAlignment="1">
      <alignment horizontal="left"/>
    </xf>
    <xf numFmtId="0" fontId="0" fillId="6" borderId="4" xfId="0" applyFill="1" applyBorder="1"/>
    <xf numFmtId="0" fontId="6" fillId="2" borderId="4" xfId="0" applyFont="1" applyFill="1" applyBorder="1" applyAlignment="1" applyProtection="1">
      <alignment horizontal="center"/>
      <protection locked="0"/>
    </xf>
    <xf numFmtId="0" fontId="10" fillId="6" borderId="3" xfId="0" applyFont="1" applyFill="1" applyBorder="1" applyAlignment="1">
      <alignment horizontal="left" indent="1"/>
    </xf>
    <xf numFmtId="0" fontId="10" fillId="6" borderId="5" xfId="0" applyFont="1" applyFill="1" applyBorder="1" applyAlignment="1">
      <alignment horizontal="left" indent="1"/>
    </xf>
    <xf numFmtId="0" fontId="13" fillId="3" borderId="0" xfId="0" applyFont="1" applyFill="1" applyBorder="1" applyAlignment="1">
      <alignment horizontal="right"/>
    </xf>
    <xf numFmtId="3" fontId="0" fillId="3" borderId="0" xfId="0" applyNumberFormat="1" applyFill="1"/>
    <xf numFmtId="165" fontId="0" fillId="3" borderId="5" xfId="0" applyNumberFormat="1" applyFill="1" applyBorder="1" applyAlignment="1">
      <alignment horizontal="right"/>
    </xf>
    <xf numFmtId="0" fontId="38" fillId="3" borderId="0" xfId="0" applyFont="1" applyFill="1" applyAlignment="1">
      <alignment horizontal="left"/>
    </xf>
    <xf numFmtId="0" fontId="10" fillId="3" borderId="7" xfId="0" applyFont="1" applyFill="1" applyBorder="1"/>
    <xf numFmtId="164" fontId="17" fillId="3" borderId="4" xfId="0" applyNumberFormat="1" applyFont="1" applyFill="1" applyBorder="1" applyAlignment="1" applyProtection="1">
      <alignment horizontal="center" vertical="center"/>
    </xf>
    <xf numFmtId="1" fontId="6" fillId="3" borderId="17" xfId="0" applyNumberFormat="1" applyFont="1" applyFill="1" applyBorder="1" applyAlignment="1">
      <alignment horizontal="right"/>
    </xf>
    <xf numFmtId="0" fontId="4" fillId="3" borderId="9" xfId="0" applyFont="1" applyFill="1" applyBorder="1" applyAlignment="1">
      <alignment horizontal="right"/>
    </xf>
    <xf numFmtId="165" fontId="0" fillId="3" borderId="17" xfId="0" applyNumberFormat="1" applyFont="1" applyFill="1" applyBorder="1"/>
    <xf numFmtId="164" fontId="0" fillId="3" borderId="9" xfId="0" applyNumberFormat="1" applyFill="1" applyBorder="1" applyAlignment="1">
      <alignment horizontal="center" vertical="center"/>
    </xf>
    <xf numFmtId="0" fontId="0" fillId="3" borderId="7" xfId="0" applyFont="1" applyFill="1" applyBorder="1" applyAlignment="1">
      <alignment horizontal="center" vertical="center"/>
    </xf>
    <xf numFmtId="3" fontId="0" fillId="3" borderId="0" xfId="0" applyNumberFormat="1" applyFill="1" applyBorder="1"/>
    <xf numFmtId="0" fontId="4" fillId="3" borderId="7" xfId="0" applyFont="1" applyFill="1" applyBorder="1" applyAlignment="1">
      <alignment horizontal="left"/>
    </xf>
    <xf numFmtId="0" fontId="0" fillId="4" borderId="0" xfId="0" applyFill="1" applyBorder="1" applyAlignment="1">
      <alignment horizontal="right"/>
    </xf>
    <xf numFmtId="0" fontId="0" fillId="5" borderId="2" xfId="0" applyFill="1" applyBorder="1" applyAlignment="1">
      <alignment horizontal="right"/>
    </xf>
    <xf numFmtId="0" fontId="0" fillId="5" borderId="6" xfId="0" applyFill="1" applyBorder="1" applyAlignment="1">
      <alignment horizontal="right"/>
    </xf>
    <xf numFmtId="0" fontId="0" fillId="3" borderId="6" xfId="0" applyFill="1" applyBorder="1" applyAlignment="1">
      <alignment horizontal="center" vertical="center"/>
    </xf>
    <xf numFmtId="0" fontId="0" fillId="3" borderId="5" xfId="0" applyFill="1" applyBorder="1" applyAlignment="1">
      <alignment horizontal="left" vertical="center" indent="2"/>
    </xf>
    <xf numFmtId="0" fontId="20" fillId="3" borderId="0" xfId="0" applyFont="1" applyFill="1" applyBorder="1"/>
    <xf numFmtId="0" fontId="0" fillId="3" borderId="0" xfId="0" applyFont="1" applyFill="1" applyBorder="1" applyAlignment="1">
      <alignment horizontal="center" vertical="center"/>
    </xf>
    <xf numFmtId="0" fontId="40" fillId="5" borderId="1" xfId="0" applyFont="1" applyFill="1" applyBorder="1" applyAlignment="1">
      <alignment horizontal="left" indent="1"/>
    </xf>
    <xf numFmtId="0" fontId="40" fillId="5" borderId="5" xfId="0" applyFont="1" applyFill="1" applyBorder="1" applyAlignment="1">
      <alignment horizontal="left" vertical="top" indent="1"/>
    </xf>
    <xf numFmtId="0" fontId="0" fillId="3" borderId="7" xfId="0" applyFill="1" applyBorder="1" applyProtection="1"/>
    <xf numFmtId="0" fontId="0" fillId="3" borderId="6" xfId="0" applyFill="1" applyBorder="1" applyProtection="1"/>
    <xf numFmtId="0" fontId="6" fillId="0" borderId="0" xfId="0" applyFont="1" applyFill="1" applyBorder="1" applyAlignment="1">
      <alignment vertical="center"/>
    </xf>
    <xf numFmtId="2" fontId="0" fillId="0" borderId="0" xfId="0" applyNumberFormat="1" applyFill="1"/>
    <xf numFmtId="0" fontId="6" fillId="0" borderId="0" xfId="0" applyFont="1" applyFill="1" applyBorder="1"/>
    <xf numFmtId="1" fontId="0" fillId="0" borderId="0" xfId="0" applyNumberFormat="1" applyFill="1"/>
    <xf numFmtId="1" fontId="0" fillId="0" borderId="0" xfId="0" applyNumberFormat="1" applyFill="1" applyBorder="1"/>
    <xf numFmtId="0" fontId="0" fillId="0" borderId="0" xfId="0" applyFill="1" applyBorder="1"/>
    <xf numFmtId="0" fontId="0" fillId="0" borderId="0" xfId="0" applyFont="1" applyFill="1" applyBorder="1"/>
    <xf numFmtId="0" fontId="0" fillId="3" borderId="0" xfId="0" applyFill="1" applyAlignment="1">
      <alignment horizontal="right"/>
    </xf>
    <xf numFmtId="0" fontId="0" fillId="3" borderId="0" xfId="0" applyFill="1" applyBorder="1" applyAlignment="1">
      <alignment horizontal="right" indent="1"/>
    </xf>
    <xf numFmtId="0" fontId="42" fillId="0" borderId="0" xfId="0" applyFont="1"/>
    <xf numFmtId="0" fontId="0" fillId="0" borderId="1" xfId="0" applyBorder="1"/>
    <xf numFmtId="0" fontId="0" fillId="7" borderId="0" xfId="0" applyFill="1"/>
    <xf numFmtId="0" fontId="42" fillId="4" borderId="0" xfId="0" applyFont="1" applyFill="1"/>
    <xf numFmtId="1" fontId="0" fillId="4" borderId="0" xfId="0" applyNumberFormat="1" applyFill="1" applyBorder="1"/>
    <xf numFmtId="2" fontId="0" fillId="4" borderId="0" xfId="0" applyNumberFormat="1" applyFill="1" applyBorder="1" applyAlignment="1">
      <alignment horizontal="center"/>
    </xf>
    <xf numFmtId="9" fontId="0" fillId="4" borderId="0" xfId="0" applyNumberFormat="1" applyFill="1" applyBorder="1" applyAlignment="1">
      <alignment horizontal="center"/>
    </xf>
    <xf numFmtId="0" fontId="4" fillId="4" borderId="0" xfId="0" applyFont="1" applyFill="1" applyBorder="1"/>
    <xf numFmtId="9" fontId="4" fillId="4" borderId="0" xfId="0" applyNumberFormat="1" applyFont="1" applyFill="1" applyBorder="1" applyAlignment="1">
      <alignment horizontal="center"/>
    </xf>
    <xf numFmtId="0" fontId="2" fillId="0" borderId="11" xfId="0" applyFont="1" applyFill="1" applyBorder="1"/>
    <xf numFmtId="0" fontId="0" fillId="0" borderId="3" xfId="0" applyFill="1" applyBorder="1"/>
    <xf numFmtId="0" fontId="0" fillId="0" borderId="4" xfId="0" applyFill="1" applyBorder="1"/>
    <xf numFmtId="0" fontId="0" fillId="0" borderId="3" xfId="0" applyFont="1" applyFill="1" applyBorder="1"/>
    <xf numFmtId="0" fontId="0" fillId="0" borderId="17" xfId="0" applyFont="1" applyFill="1" applyBorder="1"/>
    <xf numFmtId="0" fontId="0" fillId="0" borderId="5" xfId="0" applyFont="1" applyFill="1" applyBorder="1"/>
    <xf numFmtId="0" fontId="0" fillId="0" borderId="6" xfId="0" applyFill="1" applyBorder="1"/>
    <xf numFmtId="0" fontId="0" fillId="0" borderId="2" xfId="0" applyFill="1" applyBorder="1"/>
    <xf numFmtId="0" fontId="0" fillId="0" borderId="5" xfId="0" applyFill="1" applyBorder="1"/>
    <xf numFmtId="0" fontId="2" fillId="0" borderId="18" xfId="0" applyFont="1" applyFill="1" applyBorder="1"/>
    <xf numFmtId="0" fontId="0" fillId="3" borderId="3" xfId="0" applyFont="1" applyFill="1" applyBorder="1" applyAlignment="1">
      <alignment horizontal="left" indent="2"/>
    </xf>
    <xf numFmtId="0" fontId="0" fillId="3" borderId="1" xfId="0" applyFont="1" applyFill="1" applyBorder="1" applyAlignment="1">
      <alignment horizontal="left" vertical="center" indent="2"/>
    </xf>
    <xf numFmtId="0" fontId="10" fillId="3" borderId="4" xfId="0" applyFont="1" applyFill="1" applyBorder="1" applyAlignment="1" applyProtection="1">
      <alignment horizontal="center" vertical="center"/>
    </xf>
    <xf numFmtId="1" fontId="4" fillId="3" borderId="5" xfId="0" applyNumberFormat="1" applyFont="1" applyFill="1" applyBorder="1"/>
    <xf numFmtId="0" fontId="0" fillId="0" borderId="1" xfId="0" applyFill="1" applyBorder="1"/>
    <xf numFmtId="0" fontId="0" fillId="0" borderId="3" xfId="0" applyFill="1" applyBorder="1" applyAlignment="1">
      <alignment vertical="center"/>
    </xf>
    <xf numFmtId="0" fontId="0" fillId="0" borderId="4" xfId="0" applyFill="1" applyBorder="1" applyAlignment="1">
      <alignment vertical="center"/>
    </xf>
    <xf numFmtId="0" fontId="2" fillId="0" borderId="13" xfId="0" applyFont="1" applyFill="1" applyBorder="1"/>
    <xf numFmtId="0" fontId="0" fillId="3" borderId="5" xfId="0" applyFont="1" applyFill="1" applyBorder="1" applyProtection="1"/>
    <xf numFmtId="0" fontId="0" fillId="3" borderId="7" xfId="0" applyFont="1" applyFill="1" applyBorder="1" applyAlignment="1" applyProtection="1">
      <alignment horizontal="left" indent="2"/>
    </xf>
    <xf numFmtId="0" fontId="0" fillId="3" borderId="7" xfId="0" applyFill="1" applyBorder="1" applyAlignment="1" applyProtection="1">
      <alignment horizontal="center" vertical="center"/>
    </xf>
    <xf numFmtId="0" fontId="0" fillId="3" borderId="7" xfId="0" applyFont="1" applyFill="1" applyBorder="1" applyProtection="1"/>
    <xf numFmtId="164" fontId="0" fillId="3" borderId="7" xfId="0" applyNumberFormat="1" applyFont="1" applyFill="1" applyBorder="1" applyProtection="1"/>
    <xf numFmtId="1" fontId="0" fillId="3" borderId="7" xfId="0" applyNumberFormat="1" applyFill="1" applyBorder="1" applyAlignment="1" applyProtection="1">
      <alignment horizontal="left"/>
    </xf>
    <xf numFmtId="1" fontId="0" fillId="3" borderId="7" xfId="0" applyNumberFormat="1" applyFill="1" applyBorder="1" applyProtection="1"/>
    <xf numFmtId="1" fontId="0" fillId="3" borderId="7" xfId="0" applyNumberFormat="1" applyFill="1" applyBorder="1" applyAlignment="1" applyProtection="1">
      <alignment horizontal="right"/>
    </xf>
    <xf numFmtId="0" fontId="0" fillId="0" borderId="19" xfId="0" applyFill="1" applyBorder="1"/>
    <xf numFmtId="0" fontId="0" fillId="0" borderId="15" xfId="0" applyFill="1" applyBorder="1" applyAlignment="1">
      <alignment vertical="center"/>
    </xf>
    <xf numFmtId="0" fontId="0" fillId="0" borderId="20" xfId="0" applyFill="1" applyBorder="1"/>
    <xf numFmtId="0" fontId="0" fillId="0" borderId="15" xfId="0" applyFill="1" applyBorder="1"/>
    <xf numFmtId="0" fontId="1" fillId="0" borderId="0" xfId="0" applyFont="1" applyFill="1"/>
    <xf numFmtId="3" fontId="0" fillId="2" borderId="21" xfId="0" applyNumberFormat="1" applyFont="1" applyFill="1" applyBorder="1" applyAlignment="1" applyProtection="1">
      <alignment horizontal="center" vertical="center"/>
      <protection locked="0"/>
    </xf>
    <xf numFmtId="3" fontId="0" fillId="2" borderId="16" xfId="0" applyNumberFormat="1" applyFont="1" applyFill="1" applyBorder="1" applyAlignment="1" applyProtection="1">
      <alignment horizontal="center" vertical="center"/>
      <protection locked="0"/>
    </xf>
    <xf numFmtId="164" fontId="0" fillId="2" borderId="14" xfId="0" applyNumberFormat="1" applyFill="1" applyBorder="1" applyAlignment="1" applyProtection="1">
      <alignment horizontal="center" vertical="center"/>
      <protection locked="0"/>
    </xf>
    <xf numFmtId="164" fontId="0" fillId="2" borderId="16" xfId="0" applyNumberFormat="1" applyFill="1" applyBorder="1" applyAlignment="1" applyProtection="1">
      <alignment horizontal="center" vertical="center"/>
      <protection locked="0"/>
    </xf>
    <xf numFmtId="0" fontId="10" fillId="2" borderId="16" xfId="0" applyFont="1" applyFill="1" applyBorder="1" applyAlignment="1" applyProtection="1">
      <alignment horizontal="center" vertical="center"/>
      <protection locked="0"/>
    </xf>
    <xf numFmtId="1" fontId="10" fillId="3" borderId="0" xfId="0" applyNumberFormat="1" applyFont="1" applyFill="1" applyBorder="1" applyAlignment="1">
      <alignment horizontal="left"/>
    </xf>
    <xf numFmtId="1" fontId="10" fillId="3" borderId="0" xfId="0" applyNumberFormat="1" applyFont="1" applyFill="1" applyBorder="1"/>
    <xf numFmtId="1" fontId="10" fillId="3" borderId="0" xfId="0" applyNumberFormat="1" applyFont="1" applyFill="1" applyBorder="1" applyAlignment="1">
      <alignment horizontal="right"/>
    </xf>
    <xf numFmtId="165" fontId="10" fillId="3" borderId="0" xfId="0" applyNumberFormat="1" applyFont="1" applyFill="1" applyBorder="1"/>
    <xf numFmtId="0" fontId="40" fillId="5" borderId="11" xfId="0" applyFont="1" applyFill="1" applyBorder="1" applyAlignment="1">
      <alignment horizontal="left" vertical="center" indent="1"/>
    </xf>
    <xf numFmtId="0" fontId="40" fillId="5" borderId="13" xfId="0" applyFont="1" applyFill="1" applyBorder="1" applyAlignment="1">
      <alignment horizontal="left" vertical="center" indent="1"/>
    </xf>
    <xf numFmtId="0" fontId="45" fillId="0" borderId="0" xfId="2"/>
    <xf numFmtId="0" fontId="46" fillId="0" borderId="0" xfId="2" applyFont="1" applyAlignment="1">
      <alignment horizontal="right"/>
    </xf>
    <xf numFmtId="0" fontId="46" fillId="0" borderId="0" xfId="2" applyFont="1"/>
    <xf numFmtId="165" fontId="46" fillId="0" borderId="0" xfId="2" applyNumberFormat="1" applyFont="1"/>
    <xf numFmtId="0" fontId="46" fillId="0" borderId="0" xfId="2" applyFont="1" applyAlignment="1">
      <alignment horizontal="left"/>
    </xf>
    <xf numFmtId="0" fontId="47" fillId="3" borderId="0" xfId="2" applyFont="1" applyFill="1" applyAlignment="1">
      <alignment horizontal="left"/>
    </xf>
    <xf numFmtId="0" fontId="45" fillId="3" borderId="0" xfId="2" applyFill="1"/>
    <xf numFmtId="166" fontId="46" fillId="3" borderId="3" xfId="2" applyNumberFormat="1" applyFont="1" applyFill="1" applyBorder="1" applyAlignment="1">
      <alignment horizontal="right"/>
    </xf>
    <xf numFmtId="166" fontId="46" fillId="3" borderId="0" xfId="2" applyNumberFormat="1" applyFont="1" applyFill="1" applyAlignment="1">
      <alignment horizontal="right"/>
    </xf>
    <xf numFmtId="166" fontId="46" fillId="3" borderId="0" xfId="2" applyNumberFormat="1" applyFont="1" applyFill="1" applyAlignment="1">
      <alignment horizontal="left"/>
    </xf>
    <xf numFmtId="165" fontId="46" fillId="3" borderId="3" xfId="2" applyNumberFormat="1" applyFont="1" applyFill="1" applyBorder="1" applyAlignment="1">
      <alignment horizontal="right"/>
    </xf>
    <xf numFmtId="165" fontId="46" fillId="3" borderId="0" xfId="2" applyNumberFormat="1" applyFont="1" applyFill="1" applyAlignment="1">
      <alignment horizontal="right"/>
    </xf>
    <xf numFmtId="0" fontId="46" fillId="3" borderId="0" xfId="2" applyFont="1" applyFill="1" applyAlignment="1">
      <alignment horizontal="right"/>
    </xf>
    <xf numFmtId="0" fontId="47" fillId="3" borderId="7" xfId="2" applyFont="1" applyFill="1" applyBorder="1" applyAlignment="1">
      <alignment horizontal="left"/>
    </xf>
    <xf numFmtId="0" fontId="46" fillId="3" borderId="5" xfId="2" applyFont="1" applyFill="1" applyBorder="1" applyAlignment="1">
      <alignment horizontal="right"/>
    </xf>
    <xf numFmtId="0" fontId="46" fillId="3" borderId="7" xfId="2" applyFont="1" applyFill="1" applyBorder="1" applyAlignment="1">
      <alignment horizontal="right"/>
    </xf>
    <xf numFmtId="165" fontId="46" fillId="3" borderId="0" xfId="2" applyNumberFormat="1" applyFont="1" applyFill="1"/>
    <xf numFmtId="0" fontId="46" fillId="3" borderId="0" xfId="2" applyFont="1" applyFill="1"/>
    <xf numFmtId="0" fontId="46" fillId="3" borderId="3" xfId="2" applyFont="1" applyFill="1" applyBorder="1" applyAlignment="1">
      <alignment horizontal="left"/>
    </xf>
    <xf numFmtId="0" fontId="46" fillId="3" borderId="0" xfId="2" applyFont="1" applyFill="1" applyAlignment="1">
      <alignment horizontal="left"/>
    </xf>
    <xf numFmtId="0" fontId="46" fillId="3" borderId="3" xfId="2" applyFont="1" applyFill="1" applyBorder="1" applyAlignment="1">
      <alignment horizontal="right"/>
    </xf>
    <xf numFmtId="165" fontId="46" fillId="3" borderId="0" xfId="2" applyNumberFormat="1" applyFont="1" applyFill="1" applyAlignment="1">
      <alignment horizontal="right" indent="1"/>
    </xf>
    <xf numFmtId="0" fontId="46" fillId="3" borderId="7" xfId="2" applyFont="1" applyFill="1" applyBorder="1" applyAlignment="1">
      <alignment horizontal="left"/>
    </xf>
    <xf numFmtId="0" fontId="46" fillId="3" borderId="6" xfId="2" applyFont="1" applyFill="1" applyBorder="1" applyAlignment="1">
      <alignment horizontal="left"/>
    </xf>
    <xf numFmtId="0" fontId="47" fillId="4" borderId="7" xfId="2" applyFont="1" applyFill="1" applyBorder="1" applyAlignment="1">
      <alignment horizontal="left"/>
    </xf>
    <xf numFmtId="0" fontId="47" fillId="3" borderId="3" xfId="2" applyFont="1" applyFill="1" applyBorder="1" applyAlignment="1">
      <alignment horizontal="center"/>
    </xf>
    <xf numFmtId="0" fontId="47" fillId="4" borderId="7" xfId="2" applyFont="1" applyFill="1" applyBorder="1" applyAlignment="1">
      <alignment horizontal="center"/>
    </xf>
    <xf numFmtId="9" fontId="0" fillId="3" borderId="8" xfId="0" applyNumberFormat="1" applyFill="1" applyBorder="1" applyAlignment="1">
      <alignment horizontal="center"/>
    </xf>
    <xf numFmtId="0" fontId="4" fillId="3" borderId="8" xfId="0" applyFont="1" applyFill="1" applyBorder="1"/>
    <xf numFmtId="9" fontId="0" fillId="3" borderId="0" xfId="0" applyNumberFormat="1" applyFill="1" applyBorder="1" applyAlignment="1">
      <alignment horizontal="center"/>
    </xf>
    <xf numFmtId="9" fontId="2" fillId="3" borderId="0" xfId="0" applyNumberFormat="1" applyFont="1" applyFill="1" applyBorder="1" applyAlignment="1">
      <alignment horizontal="center"/>
    </xf>
    <xf numFmtId="0" fontId="43" fillId="3" borderId="0" xfId="0" applyFont="1" applyFill="1" applyBorder="1"/>
    <xf numFmtId="9" fontId="2" fillId="3" borderId="7" xfId="0" applyNumberFormat="1" applyFont="1" applyFill="1" applyBorder="1" applyAlignment="1">
      <alignment horizontal="center"/>
    </xf>
    <xf numFmtId="0" fontId="43" fillId="3" borderId="7" xfId="0" applyFont="1" applyFill="1" applyBorder="1"/>
    <xf numFmtId="0" fontId="2" fillId="4" borderId="1" xfId="0" applyFont="1" applyFill="1" applyBorder="1"/>
    <xf numFmtId="0" fontId="2" fillId="4" borderId="8" xfId="0" applyFont="1" applyFill="1" applyBorder="1"/>
    <xf numFmtId="0" fontId="2" fillId="4" borderId="20" xfId="0" applyFont="1" applyFill="1" applyBorder="1"/>
    <xf numFmtId="0" fontId="2" fillId="4" borderId="6" xfId="0" applyFont="1" applyFill="1" applyBorder="1"/>
    <xf numFmtId="0" fontId="2" fillId="8" borderId="1" xfId="0" applyFont="1" applyFill="1" applyBorder="1"/>
    <xf numFmtId="0" fontId="2" fillId="8" borderId="8" xfId="0" applyFont="1" applyFill="1" applyBorder="1"/>
    <xf numFmtId="0" fontId="2" fillId="8" borderId="5" xfId="0" applyFont="1" applyFill="1" applyBorder="1"/>
    <xf numFmtId="0" fontId="2" fillId="8" borderId="7" xfId="0" applyFont="1" applyFill="1" applyBorder="1"/>
    <xf numFmtId="0" fontId="0" fillId="0" borderId="0" xfId="0" applyFill="1" applyAlignment="1">
      <alignment horizontal="left"/>
    </xf>
    <xf numFmtId="10" fontId="0" fillId="0" borderId="0" xfId="0" applyNumberFormat="1" applyFill="1"/>
    <xf numFmtId="164" fontId="17" fillId="3" borderId="4" xfId="0" applyNumberFormat="1" applyFont="1" applyFill="1" applyBorder="1" applyAlignment="1" applyProtection="1">
      <alignment horizontal="center"/>
    </xf>
    <xf numFmtId="3" fontId="17" fillId="3" borderId="6" xfId="0" applyNumberFormat="1" applyFont="1" applyFill="1" applyBorder="1" applyAlignment="1">
      <alignment horizontal="center" vertical="center"/>
    </xf>
    <xf numFmtId="0" fontId="0" fillId="4" borderId="2" xfId="0" applyFill="1" applyBorder="1" applyAlignment="1">
      <alignment vertical="center"/>
    </xf>
    <xf numFmtId="0" fontId="0" fillId="0" borderId="0" xfId="0" applyFill="1" applyAlignment="1">
      <alignment horizontal="left" vertical="center"/>
    </xf>
    <xf numFmtId="20" fontId="0" fillId="0" borderId="0" xfId="0" applyNumberFormat="1" applyFill="1" applyAlignment="1">
      <alignment horizontal="left"/>
    </xf>
    <xf numFmtId="0" fontId="0" fillId="3" borderId="0" xfId="0" applyFill="1" applyBorder="1" applyAlignment="1">
      <alignment horizontal="left"/>
    </xf>
    <xf numFmtId="0" fontId="0" fillId="4" borderId="3" xfId="0" applyFill="1" applyBorder="1"/>
    <xf numFmtId="0" fontId="0" fillId="4" borderId="15" xfId="0" applyFill="1" applyBorder="1"/>
    <xf numFmtId="0" fontId="0" fillId="4" borderId="4" xfId="0" applyFill="1" applyBorder="1"/>
    <xf numFmtId="0" fontId="4" fillId="4" borderId="3" xfId="0" applyFont="1" applyFill="1" applyBorder="1"/>
    <xf numFmtId="0" fontId="48" fillId="3" borderId="0" xfId="0" applyFont="1" applyFill="1" applyBorder="1" applyAlignment="1">
      <alignment horizontal="center"/>
    </xf>
    <xf numFmtId="0" fontId="40" fillId="3" borderId="0" xfId="0" applyFont="1" applyFill="1" applyBorder="1" applyAlignment="1">
      <alignment horizontal="left" vertical="center" wrapText="1" indent="1"/>
    </xf>
    <xf numFmtId="0" fontId="40" fillId="3" borderId="0" xfId="0" applyFont="1" applyFill="1" applyBorder="1"/>
    <xf numFmtId="0" fontId="49" fillId="3" borderId="0" xfId="0" applyFont="1" applyFill="1" applyBorder="1"/>
    <xf numFmtId="0" fontId="40" fillId="3" borderId="0" xfId="0" applyFont="1" applyFill="1" applyBorder="1" applyAlignment="1">
      <alignment horizontal="left"/>
    </xf>
    <xf numFmtId="0" fontId="2" fillId="0" borderId="1" xfId="0" applyFont="1" applyFill="1" applyBorder="1" applyAlignment="1">
      <alignment horizontal="left"/>
    </xf>
    <xf numFmtId="0" fontId="2" fillId="0" borderId="8" xfId="0" applyFont="1" applyFill="1" applyBorder="1" applyAlignment="1">
      <alignment horizontal="left"/>
    </xf>
    <xf numFmtId="0" fontId="0" fillId="0" borderId="8" xfId="0" applyFill="1" applyBorder="1"/>
    <xf numFmtId="0" fontId="2" fillId="4" borderId="3" xfId="0" applyFont="1" applyFill="1" applyBorder="1" applyAlignment="1">
      <alignment horizontal="left"/>
    </xf>
    <xf numFmtId="0" fontId="8" fillId="4" borderId="0" xfId="0" applyFont="1" applyFill="1" applyBorder="1" applyAlignment="1">
      <alignment horizontal="left"/>
    </xf>
    <xf numFmtId="0" fontId="0" fillId="4" borderId="0" xfId="0" applyFill="1" applyBorder="1" applyAlignment="1">
      <alignment horizontal="left"/>
    </xf>
    <xf numFmtId="0" fontId="0" fillId="0" borderId="3" xfId="0" applyFill="1" applyBorder="1" applyAlignment="1">
      <alignment horizontal="left"/>
    </xf>
    <xf numFmtId="0" fontId="0" fillId="0" borderId="0" xfId="0" applyFill="1" applyBorder="1" applyAlignment="1">
      <alignment horizontal="left"/>
    </xf>
    <xf numFmtId="0" fontId="0" fillId="4" borderId="3" xfId="0" applyFill="1" applyBorder="1" applyAlignment="1">
      <alignment horizontal="left"/>
    </xf>
    <xf numFmtId="0" fontId="0" fillId="0" borderId="5" xfId="0" applyFill="1" applyBorder="1" applyAlignment="1">
      <alignment horizontal="left"/>
    </xf>
    <xf numFmtId="0" fontId="0" fillId="0" borderId="7" xfId="0" applyFill="1" applyBorder="1" applyAlignment="1">
      <alignment horizontal="left"/>
    </xf>
    <xf numFmtId="0" fontId="0" fillId="0" borderId="7" xfId="0" applyFill="1" applyBorder="1"/>
    <xf numFmtId="0" fontId="0" fillId="3" borderId="0" xfId="0" applyFont="1" applyFill="1" applyBorder="1" applyAlignment="1">
      <alignment horizontal="center"/>
    </xf>
    <xf numFmtId="164" fontId="17" fillId="5" borderId="4" xfId="0" applyNumberFormat="1" applyFont="1" applyFill="1" applyBorder="1" applyAlignment="1" applyProtection="1">
      <alignment horizontal="center"/>
      <protection locked="0"/>
    </xf>
    <xf numFmtId="0" fontId="0" fillId="9" borderId="0" xfId="0" applyFill="1"/>
    <xf numFmtId="0" fontId="0" fillId="9" borderId="7" xfId="0" applyFill="1" applyBorder="1"/>
    <xf numFmtId="0" fontId="0" fillId="9" borderId="0" xfId="0" applyFill="1" applyBorder="1"/>
    <xf numFmtId="0" fontId="0" fillId="9" borderId="0" xfId="0" applyFont="1" applyFill="1"/>
    <xf numFmtId="0" fontId="51" fillId="9" borderId="3" xfId="0" applyFont="1" applyFill="1" applyBorder="1" applyAlignment="1">
      <alignment vertical="center"/>
    </xf>
    <xf numFmtId="0" fontId="0" fillId="3" borderId="8" xfId="0" applyFill="1" applyBorder="1" applyAlignment="1">
      <alignment horizontal="left" indent="1"/>
    </xf>
    <xf numFmtId="0" fontId="0" fillId="3" borderId="0" xfId="0" applyFill="1" applyBorder="1" applyAlignment="1">
      <alignment horizontal="left" indent="1"/>
    </xf>
    <xf numFmtId="0" fontId="0" fillId="3" borderId="7" xfId="0" applyFill="1" applyBorder="1" applyAlignment="1">
      <alignment horizontal="left" indent="1"/>
    </xf>
    <xf numFmtId="0" fontId="0" fillId="9" borderId="0" xfId="0" applyFont="1" applyFill="1" applyAlignment="1">
      <alignment horizontal="left" indent="1"/>
    </xf>
    <xf numFmtId="0" fontId="0" fillId="9" borderId="0" xfId="0" applyFill="1" applyAlignment="1">
      <alignment horizontal="left" indent="1"/>
    </xf>
    <xf numFmtId="0" fontId="51" fillId="3" borderId="3" xfId="0" applyFont="1" applyFill="1" applyBorder="1" applyAlignment="1">
      <alignment horizontal="left" vertical="center" indent="2"/>
    </xf>
    <xf numFmtId="0" fontId="50" fillId="3" borderId="3" xfId="0" applyFont="1" applyFill="1" applyBorder="1" applyAlignment="1">
      <alignment horizontal="left" vertical="center" indent="2"/>
    </xf>
    <xf numFmtId="0" fontId="0" fillId="3" borderId="0" xfId="0" applyFill="1" applyBorder="1" applyAlignment="1">
      <alignment horizontal="left" indent="2"/>
    </xf>
    <xf numFmtId="0" fontId="51" fillId="3" borderId="0" xfId="0" applyFont="1" applyFill="1" applyBorder="1" applyAlignment="1">
      <alignment horizontal="left" vertical="center" indent="2"/>
    </xf>
    <xf numFmtId="0" fontId="0" fillId="3" borderId="22" xfId="0" applyFill="1" applyBorder="1" applyAlignment="1">
      <alignment horizontal="left" indent="1"/>
    </xf>
    <xf numFmtId="0" fontId="0" fillId="3" borderId="5" xfId="0" applyFont="1" applyFill="1" applyBorder="1" applyAlignment="1">
      <alignment horizontal="left" vertical="top" indent="2"/>
    </xf>
    <xf numFmtId="0" fontId="0" fillId="3" borderId="7" xfId="0" applyFill="1" applyBorder="1" applyAlignment="1">
      <alignment horizontal="left" vertical="top"/>
    </xf>
    <xf numFmtId="0" fontId="0" fillId="3" borderId="7" xfId="0" applyFill="1" applyBorder="1" applyAlignment="1">
      <alignment vertical="top"/>
    </xf>
    <xf numFmtId="0" fontId="51" fillId="3" borderId="5" xfId="0" applyFont="1" applyFill="1" applyBorder="1" applyAlignment="1">
      <alignment horizontal="left" vertical="top" indent="2"/>
    </xf>
    <xf numFmtId="0" fontId="0" fillId="3" borderId="7" xfId="0" applyFill="1" applyBorder="1" applyAlignment="1">
      <alignment horizontal="left" vertical="top" indent="2"/>
    </xf>
    <xf numFmtId="0" fontId="0" fillId="3" borderId="23" xfId="0" applyFill="1" applyBorder="1" applyAlignment="1">
      <alignment horizontal="left" vertical="top" indent="2"/>
    </xf>
    <xf numFmtId="0" fontId="51" fillId="3" borderId="7" xfId="0" applyFont="1" applyFill="1" applyBorder="1" applyAlignment="1">
      <alignment horizontal="left" vertical="top" indent="2"/>
    </xf>
    <xf numFmtId="0" fontId="41" fillId="3" borderId="8" xfId="1" applyFont="1" applyFill="1" applyBorder="1" applyAlignment="1" applyProtection="1"/>
    <xf numFmtId="0" fontId="0" fillId="3" borderId="8" xfId="0" applyFill="1" applyBorder="1" applyProtection="1"/>
    <xf numFmtId="0" fontId="3" fillId="3" borderId="8" xfId="1" applyFill="1" applyBorder="1" applyAlignment="1" applyProtection="1">
      <alignment vertical="center"/>
    </xf>
    <xf numFmtId="0" fontId="3" fillId="3" borderId="2" xfId="1" applyFill="1" applyBorder="1" applyAlignment="1" applyProtection="1">
      <alignment vertical="center"/>
    </xf>
    <xf numFmtId="0" fontId="11" fillId="3" borderId="0" xfId="1" applyFont="1" applyFill="1" applyBorder="1" applyAlignment="1" applyProtection="1">
      <alignment vertical="top"/>
    </xf>
    <xf numFmtId="0" fontId="12" fillId="3" borderId="0" xfId="1" applyFont="1" applyFill="1" applyBorder="1" applyAlignment="1" applyProtection="1">
      <alignment vertical="top"/>
    </xf>
    <xf numFmtId="0" fontId="12" fillId="3" borderId="4" xfId="1" applyFont="1" applyFill="1" applyBorder="1" applyAlignment="1" applyProtection="1">
      <alignment horizontal="left" vertical="top"/>
    </xf>
    <xf numFmtId="0" fontId="7" fillId="0" borderId="7" xfId="0" applyFont="1" applyBorder="1" applyAlignment="1">
      <alignment wrapText="1"/>
    </xf>
    <xf numFmtId="0" fontId="0" fillId="0" borderId="7" xfId="0" applyFont="1" applyBorder="1" applyAlignment="1">
      <alignment wrapText="1"/>
    </xf>
    <xf numFmtId="0" fontId="7" fillId="3" borderId="7" xfId="0" applyFont="1" applyFill="1" applyBorder="1" applyAlignment="1">
      <alignment wrapText="1"/>
    </xf>
    <xf numFmtId="0" fontId="0" fillId="3" borderId="7" xfId="0" applyFont="1" applyFill="1" applyBorder="1" applyAlignment="1">
      <alignment wrapText="1"/>
    </xf>
    <xf numFmtId="0" fontId="0" fillId="3" borderId="0" xfId="0" applyFont="1" applyFill="1" applyAlignment="1">
      <alignment horizontal="center"/>
    </xf>
    <xf numFmtId="0" fontId="0" fillId="0" borderId="7" xfId="0" applyFont="1" applyBorder="1"/>
    <xf numFmtId="0" fontId="17" fillId="3" borderId="0" xfId="0" applyFont="1" applyFill="1" applyBorder="1" applyAlignment="1">
      <alignment horizontal="left" vertical="center" indent="2"/>
    </xf>
    <xf numFmtId="3" fontId="17" fillId="3" borderId="0" xfId="0" applyNumberFormat="1" applyFont="1" applyFill="1" applyBorder="1" applyAlignment="1">
      <alignment horizontal="center" vertical="center"/>
    </xf>
    <xf numFmtId="165" fontId="16" fillId="3" borderId="0" xfId="0" applyNumberFormat="1" applyFont="1" applyFill="1" applyBorder="1"/>
    <xf numFmtId="164" fontId="17" fillId="3" borderId="0" xfId="0" applyNumberFormat="1" applyFont="1" applyFill="1" applyBorder="1" applyAlignment="1" applyProtection="1">
      <alignment horizontal="center"/>
      <protection locked="0"/>
    </xf>
    <xf numFmtId="0" fontId="16" fillId="3" borderId="0" xfId="0" applyFont="1" applyFill="1" applyBorder="1" applyAlignment="1">
      <alignment horizontal="right"/>
    </xf>
    <xf numFmtId="9" fontId="18" fillId="3" borderId="0" xfId="0" applyNumberFormat="1" applyFont="1" applyFill="1" applyBorder="1" applyAlignment="1">
      <alignment horizontal="center"/>
    </xf>
    <xf numFmtId="0" fontId="52" fillId="3" borderId="0" xfId="1" applyFont="1" applyFill="1" applyAlignment="1"/>
    <xf numFmtId="1" fontId="16" fillId="3" borderId="5" xfId="0" applyNumberFormat="1" applyFont="1" applyFill="1" applyBorder="1" applyAlignment="1">
      <alignment horizontal="right"/>
    </xf>
    <xf numFmtId="9" fontId="0" fillId="6" borderId="2" xfId="0" applyNumberFormat="1" applyFont="1" applyFill="1" applyBorder="1" applyAlignment="1">
      <alignment horizontal="left" vertical="center" indent="4"/>
    </xf>
    <xf numFmtId="164" fontId="17" fillId="3" borderId="4" xfId="0" applyNumberFormat="1" applyFont="1" applyFill="1" applyBorder="1" applyAlignment="1" applyProtection="1">
      <alignment horizontal="left"/>
    </xf>
    <xf numFmtId="9" fontId="0" fillId="2" borderId="24" xfId="0" applyNumberFormat="1" applyFill="1" applyBorder="1" applyAlignment="1" applyProtection="1">
      <alignment horizontal="center" vertical="center"/>
      <protection locked="0"/>
    </xf>
    <xf numFmtId="0" fontId="13" fillId="3" borderId="0" xfId="0" applyFont="1" applyFill="1" applyBorder="1" applyAlignment="1">
      <alignment horizontal="left" vertical="center" indent="1"/>
    </xf>
    <xf numFmtId="0" fontId="13" fillId="6" borderId="11" xfId="0" applyFont="1" applyFill="1" applyBorder="1" applyAlignment="1">
      <alignment horizontal="left" vertical="center" indent="1"/>
    </xf>
    <xf numFmtId="0" fontId="0" fillId="6" borderId="13" xfId="0" applyFill="1" applyBorder="1" applyAlignment="1">
      <alignment horizontal="right"/>
    </xf>
    <xf numFmtId="1" fontId="0" fillId="3" borderId="0" xfId="0" applyNumberFormat="1" applyFill="1" applyBorder="1"/>
    <xf numFmtId="0" fontId="2" fillId="0" borderId="0" xfId="0" applyFont="1" applyAlignment="1">
      <alignment horizontal="center"/>
    </xf>
    <xf numFmtId="0" fontId="3" fillId="0" borderId="0" xfId="1"/>
    <xf numFmtId="0" fontId="2" fillId="3" borderId="0" xfId="0" applyFont="1" applyFill="1" applyAlignment="1">
      <alignment horizontal="center"/>
    </xf>
    <xf numFmtId="0" fontId="2" fillId="3" borderId="7" xfId="0" applyFont="1" applyFill="1" applyBorder="1" applyAlignment="1">
      <alignment horizontal="center"/>
    </xf>
    <xf numFmtId="164" fontId="17" fillId="3" borderId="6" xfId="0" applyNumberFormat="1" applyFont="1" applyFill="1" applyBorder="1" applyAlignment="1" applyProtection="1">
      <alignment horizontal="center"/>
    </xf>
    <xf numFmtId="164" fontId="17" fillId="3" borderId="0" xfId="0" applyNumberFormat="1" applyFont="1" applyFill="1" applyBorder="1" applyAlignment="1" applyProtection="1">
      <alignment horizontal="center"/>
    </xf>
    <xf numFmtId="9" fontId="4" fillId="3" borderId="7" xfId="0" applyNumberFormat="1" applyFont="1" applyFill="1" applyBorder="1" applyAlignment="1" applyProtection="1">
      <alignment horizontal="center"/>
    </xf>
    <xf numFmtId="0" fontId="2" fillId="0" borderId="0" xfId="0" applyFont="1" applyFill="1" applyAlignment="1">
      <alignment vertical="center"/>
    </xf>
    <xf numFmtId="0" fontId="0" fillId="0" borderId="0" xfId="0" applyFill="1" applyAlignment="1">
      <alignment horizontal="center"/>
    </xf>
    <xf numFmtId="0" fontId="0" fillId="0" borderId="0" xfId="0" applyFill="1" applyAlignment="1">
      <alignment horizontal="center" vertical="center"/>
    </xf>
    <xf numFmtId="0" fontId="2" fillId="0" borderId="0" xfId="0" applyFont="1" applyFill="1" applyAlignment="1">
      <alignment horizontal="center"/>
    </xf>
    <xf numFmtId="167" fontId="0" fillId="0" borderId="0" xfId="0" applyNumberFormat="1" applyFill="1" applyAlignment="1">
      <alignment horizontal="center" vertical="center"/>
    </xf>
    <xf numFmtId="14" fontId="0" fillId="0" borderId="0" xfId="0" applyNumberFormat="1" applyFill="1" applyAlignment="1">
      <alignment horizontal="center"/>
    </xf>
    <xf numFmtId="167" fontId="0" fillId="0" borderId="0" xfId="0" applyNumberFormat="1" applyFill="1" applyAlignment="1">
      <alignment horizontal="center"/>
    </xf>
    <xf numFmtId="168" fontId="0" fillId="0" borderId="0" xfId="0" applyNumberFormat="1" applyFill="1" applyAlignment="1">
      <alignment horizontal="center"/>
    </xf>
    <xf numFmtId="0" fontId="0" fillId="3" borderId="0" xfId="0" applyFont="1" applyFill="1" applyBorder="1" applyProtection="1"/>
    <xf numFmtId="0" fontId="0" fillId="3" borderId="0" xfId="0" applyFill="1" applyBorder="1" applyAlignment="1" applyProtection="1">
      <alignment horizontal="center" vertical="center"/>
    </xf>
    <xf numFmtId="0" fontId="0" fillId="3" borderId="0" xfId="0" applyFill="1" applyBorder="1" applyProtection="1"/>
    <xf numFmtId="0" fontId="0" fillId="3" borderId="3" xfId="0" applyFont="1" applyFill="1" applyBorder="1" applyProtection="1"/>
    <xf numFmtId="0" fontId="0" fillId="3" borderId="4" xfId="0" applyFill="1" applyBorder="1" applyProtection="1"/>
    <xf numFmtId="0" fontId="0" fillId="0" borderId="0" xfId="0" applyFill="1" applyBorder="1" applyProtection="1"/>
    <xf numFmtId="9" fontId="0" fillId="3" borderId="0" xfId="0" applyNumberFormat="1" applyFill="1" applyBorder="1" applyAlignment="1" applyProtection="1">
      <alignment horizontal="center" vertical="center"/>
    </xf>
    <xf numFmtId="1" fontId="4" fillId="3" borderId="0" xfId="0" applyNumberFormat="1" applyFont="1" applyFill="1" applyBorder="1" applyProtection="1"/>
    <xf numFmtId="0" fontId="4" fillId="3" borderId="0" xfId="0" applyFont="1" applyFill="1" applyBorder="1" applyProtection="1"/>
    <xf numFmtId="164" fontId="0" fillId="3" borderId="0" xfId="0" applyNumberFormat="1" applyFill="1" applyBorder="1" applyAlignment="1" applyProtection="1">
      <alignment horizontal="center" vertical="center"/>
    </xf>
    <xf numFmtId="1" fontId="13" fillId="3" borderId="0" xfId="0" applyNumberFormat="1" applyFont="1" applyFill="1" applyBorder="1" applyAlignment="1" applyProtection="1">
      <alignment horizontal="left" vertical="center"/>
    </xf>
    <xf numFmtId="167" fontId="4" fillId="3" borderId="7" xfId="0" applyNumberFormat="1" applyFont="1" applyFill="1" applyBorder="1" applyAlignment="1">
      <alignment horizontal="left"/>
    </xf>
    <xf numFmtId="0" fontId="0" fillId="0" borderId="7" xfId="0" applyBorder="1"/>
    <xf numFmtId="0" fontId="0" fillId="0" borderId="0" xfId="0" applyBorder="1" applyAlignment="1">
      <alignment horizontal="right"/>
    </xf>
    <xf numFmtId="167" fontId="0" fillId="3" borderId="0" xfId="0" applyNumberFormat="1" applyFill="1" applyBorder="1"/>
    <xf numFmtId="20" fontId="2" fillId="0" borderId="0" xfId="0" applyNumberFormat="1" applyFont="1" applyFill="1" applyAlignment="1">
      <alignment horizontal="left"/>
    </xf>
    <xf numFmtId="167" fontId="4" fillId="3" borderId="7" xfId="0" applyNumberFormat="1" applyFont="1" applyFill="1" applyBorder="1" applyAlignment="1">
      <alignment horizontal="left"/>
    </xf>
    <xf numFmtId="0" fontId="2" fillId="3" borderId="1" xfId="0" applyFont="1" applyFill="1" applyBorder="1" applyAlignment="1">
      <alignment horizontal="left" vertical="center" indent="2"/>
    </xf>
    <xf numFmtId="0" fontId="2" fillId="3" borderId="3" xfId="0" applyFont="1" applyFill="1" applyBorder="1" applyAlignment="1">
      <alignment horizontal="left" vertical="center" indent="2"/>
    </xf>
    <xf numFmtId="0" fontId="2" fillId="3" borderId="3" xfId="0" applyFont="1" applyFill="1" applyBorder="1" applyAlignment="1">
      <alignment horizontal="left" indent="2"/>
    </xf>
    <xf numFmtId="0" fontId="2" fillId="3" borderId="5" xfId="0" applyFont="1" applyFill="1" applyBorder="1" applyAlignment="1">
      <alignment horizontal="left" indent="2"/>
    </xf>
    <xf numFmtId="0" fontId="2" fillId="0" borderId="7" xfId="0" applyFont="1" applyFill="1" applyBorder="1"/>
    <xf numFmtId="0" fontId="14" fillId="3" borderId="3" xfId="0" applyFont="1" applyFill="1" applyBorder="1" applyAlignment="1">
      <alignment horizontal="left" indent="2"/>
    </xf>
    <xf numFmtId="0" fontId="15" fillId="3" borderId="0" xfId="0" applyFont="1" applyFill="1" applyBorder="1"/>
    <xf numFmtId="0" fontId="14" fillId="3" borderId="3" xfId="0" applyFont="1" applyFill="1" applyBorder="1" applyAlignment="1">
      <alignment horizontal="left" vertical="center" indent="2"/>
    </xf>
    <xf numFmtId="0" fontId="14" fillId="3" borderId="0" xfId="0" applyFont="1" applyFill="1" applyBorder="1" applyAlignment="1">
      <alignment vertical="center"/>
    </xf>
    <xf numFmtId="0" fontId="14" fillId="3" borderId="5" xfId="0" applyFont="1" applyFill="1" applyBorder="1" applyAlignment="1">
      <alignment horizontal="left" vertical="center" indent="2"/>
    </xf>
    <xf numFmtId="0" fontId="14" fillId="3" borderId="7" xfId="0" applyFont="1" applyFill="1" applyBorder="1" applyAlignment="1">
      <alignment vertical="center"/>
    </xf>
    <xf numFmtId="0" fontId="2" fillId="3" borderId="0" xfId="0" applyFont="1" applyFill="1" applyBorder="1" applyAlignment="1" applyProtection="1">
      <alignment horizontal="left" vertical="center" indent="2"/>
    </xf>
    <xf numFmtId="1" fontId="13" fillId="3" borderId="7" xfId="0" applyNumberFormat="1" applyFont="1" applyFill="1" applyBorder="1" applyAlignment="1" applyProtection="1">
      <alignment horizontal="left" vertical="top" indent="1"/>
    </xf>
    <xf numFmtId="170" fontId="43" fillId="3" borderId="7" xfId="0" applyNumberFormat="1" applyFont="1" applyFill="1" applyBorder="1" applyAlignment="1">
      <alignment horizontal="left"/>
    </xf>
    <xf numFmtId="0" fontId="0" fillId="0" borderId="0" xfId="0" applyNumberFormat="1" applyFill="1" applyAlignment="1">
      <alignment horizontal="center"/>
    </xf>
    <xf numFmtId="168" fontId="0" fillId="0" borderId="0" xfId="0" applyNumberFormat="1" applyFill="1" applyAlignment="1">
      <alignment horizontal="center" vertical="center"/>
    </xf>
    <xf numFmtId="2" fontId="2" fillId="0" borderId="0" xfId="0" applyNumberFormat="1" applyFont="1" applyFill="1" applyAlignment="1">
      <alignment horizontal="center"/>
    </xf>
    <xf numFmtId="0" fontId="25" fillId="3" borderId="8" xfId="0" applyFont="1" applyFill="1" applyBorder="1" applyAlignment="1" applyProtection="1">
      <alignment horizontal="left" vertical="center"/>
    </xf>
    <xf numFmtId="0" fontId="25" fillId="3" borderId="0" xfId="0" applyFont="1" applyFill="1" applyBorder="1" applyAlignment="1" applyProtection="1">
      <alignment horizontal="left" vertical="center"/>
    </xf>
    <xf numFmtId="0" fontId="15" fillId="4" borderId="1" xfId="0" applyFont="1" applyFill="1" applyBorder="1" applyAlignment="1">
      <alignment horizontal="left" vertical="center" indent="1"/>
    </xf>
    <xf numFmtId="0" fontId="15" fillId="4" borderId="8" xfId="0" applyFont="1" applyFill="1" applyBorder="1" applyAlignment="1">
      <alignment horizontal="left" vertical="center" indent="1"/>
    </xf>
    <xf numFmtId="0" fontId="13" fillId="0" borderId="0" xfId="0" applyFont="1" applyFill="1" applyBorder="1" applyAlignment="1">
      <alignment horizontal="left" vertical="top" indent="1"/>
    </xf>
    <xf numFmtId="0" fontId="13" fillId="6" borderId="11" xfId="0" applyFont="1" applyFill="1" applyBorder="1" applyAlignment="1">
      <alignment horizontal="left" indent="1"/>
    </xf>
    <xf numFmtId="0" fontId="13" fillId="6" borderId="13" xfId="0" applyFont="1" applyFill="1" applyBorder="1" applyAlignment="1">
      <alignment horizontal="left" indent="1"/>
    </xf>
    <xf numFmtId="168" fontId="0" fillId="7" borderId="11" xfId="0" applyNumberFormat="1" applyFill="1" applyBorder="1" applyAlignment="1" applyProtection="1">
      <alignment horizontal="center"/>
      <protection locked="0"/>
    </xf>
    <xf numFmtId="168" fontId="0" fillId="7" borderId="12" xfId="0" applyNumberFormat="1" applyFill="1" applyBorder="1" applyAlignment="1" applyProtection="1">
      <alignment horizontal="center"/>
      <protection locked="0"/>
    </xf>
    <xf numFmtId="168" fontId="0" fillId="7" borderId="13" xfId="0" applyNumberFormat="1" applyFill="1" applyBorder="1" applyAlignment="1" applyProtection="1">
      <alignment horizontal="center"/>
      <protection locked="0"/>
    </xf>
    <xf numFmtId="0" fontId="10" fillId="3" borderId="12" xfId="0" applyFont="1" applyFill="1" applyBorder="1" applyAlignment="1" applyProtection="1">
      <alignment horizontal="center" vertical="center"/>
    </xf>
    <xf numFmtId="0" fontId="2" fillId="3" borderId="5" xfId="0" applyFont="1" applyFill="1" applyBorder="1" applyAlignment="1">
      <alignment horizontal="center"/>
    </xf>
    <xf numFmtId="0" fontId="2" fillId="3" borderId="7" xfId="0" applyFont="1" applyFill="1" applyBorder="1" applyAlignment="1">
      <alignment horizontal="center"/>
    </xf>
    <xf numFmtId="0" fontId="7" fillId="3" borderId="1" xfId="0" applyFont="1" applyFill="1" applyBorder="1" applyAlignment="1">
      <alignment horizontal="left" vertical="center" indent="1"/>
    </xf>
    <xf numFmtId="0" fontId="7" fillId="3" borderId="8" xfId="0" applyFont="1" applyFill="1" applyBorder="1" applyAlignment="1">
      <alignment horizontal="left" vertical="center" indent="1"/>
    </xf>
    <xf numFmtId="0" fontId="7" fillId="3" borderId="3" xfId="0" applyFont="1" applyFill="1" applyBorder="1" applyAlignment="1">
      <alignment horizontal="left" vertical="center" indent="1"/>
    </xf>
    <xf numFmtId="0" fontId="7" fillId="3" borderId="0" xfId="0" applyFont="1" applyFill="1" applyBorder="1" applyAlignment="1">
      <alignment horizontal="left" vertical="center" indent="1"/>
    </xf>
    <xf numFmtId="0" fontId="0" fillId="3" borderId="8" xfId="0" applyFont="1" applyFill="1" applyBorder="1" applyAlignment="1">
      <alignment horizontal="left"/>
    </xf>
    <xf numFmtId="1" fontId="44" fillId="3" borderId="8" xfId="0" applyNumberFormat="1" applyFont="1" applyFill="1" applyBorder="1" applyAlignment="1" applyProtection="1">
      <alignment horizontal="center" vertical="center" wrapText="1"/>
    </xf>
    <xf numFmtId="1" fontId="44" fillId="3" borderId="0" xfId="0" applyNumberFormat="1" applyFont="1" applyFill="1" applyBorder="1" applyAlignment="1" applyProtection="1">
      <alignment horizontal="center" vertical="center" wrapText="1"/>
    </xf>
    <xf numFmtId="1" fontId="44" fillId="3" borderId="7" xfId="0" applyNumberFormat="1" applyFont="1" applyFill="1" applyBorder="1" applyAlignment="1" applyProtection="1">
      <alignment horizontal="center" vertical="center" wrapText="1"/>
    </xf>
    <xf numFmtId="0" fontId="4" fillId="3" borderId="7" xfId="0" applyFont="1" applyFill="1" applyBorder="1" applyAlignment="1">
      <alignment horizontal="right"/>
    </xf>
    <xf numFmtId="169" fontId="0" fillId="3" borderId="0" xfId="0" applyNumberFormat="1" applyFont="1" applyFill="1" applyBorder="1" applyAlignment="1">
      <alignment horizontal="left"/>
    </xf>
    <xf numFmtId="1" fontId="44" fillId="3" borderId="0" xfId="0" applyNumberFormat="1" applyFont="1" applyFill="1" applyBorder="1" applyAlignment="1">
      <alignment horizontal="left" vertical="center" indent="1"/>
    </xf>
    <xf numFmtId="0" fontId="44" fillId="3" borderId="8" xfId="0" applyFont="1" applyFill="1" applyBorder="1" applyAlignment="1">
      <alignment horizontal="left" vertical="center"/>
    </xf>
    <xf numFmtId="0" fontId="44" fillId="3" borderId="0" xfId="0" applyFont="1" applyFill="1" applyBorder="1" applyAlignment="1">
      <alignment horizontal="left" vertical="center"/>
    </xf>
    <xf numFmtId="0" fontId="7" fillId="3" borderId="8" xfId="0" applyFont="1" applyFill="1" applyBorder="1" applyAlignment="1">
      <alignment horizontal="left" vertical="center"/>
    </xf>
    <xf numFmtId="0" fontId="7" fillId="3" borderId="0" xfId="0" applyFont="1" applyFill="1" applyBorder="1" applyAlignment="1">
      <alignment horizontal="left" vertical="center"/>
    </xf>
    <xf numFmtId="0" fontId="44" fillId="3" borderId="0" xfId="0" applyFont="1" applyFill="1" applyBorder="1" applyAlignment="1">
      <alignment horizontal="left" vertical="center" indent="3"/>
    </xf>
    <xf numFmtId="0" fontId="44" fillId="3" borderId="7" xfId="0" applyFont="1" applyFill="1" applyBorder="1" applyAlignment="1">
      <alignment horizontal="left" vertical="center" indent="3"/>
    </xf>
    <xf numFmtId="1" fontId="44" fillId="3" borderId="7" xfId="0" applyNumberFormat="1" applyFont="1" applyFill="1" applyBorder="1" applyAlignment="1">
      <alignment horizontal="left" vertical="center" indent="1"/>
    </xf>
    <xf numFmtId="0" fontId="0" fillId="2" borderId="7"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10" fillId="0" borderId="0" xfId="0" applyFont="1" applyAlignment="1">
      <alignment horizontal="left" wrapText="1"/>
    </xf>
    <xf numFmtId="0" fontId="44" fillId="3" borderId="0" xfId="0" applyFont="1" applyFill="1" applyBorder="1" applyAlignment="1">
      <alignment horizontal="left" vertical="center" indent="1"/>
    </xf>
    <xf numFmtId="0" fontId="44" fillId="3" borderId="7" xfId="0" applyFont="1" applyFill="1" applyBorder="1" applyAlignment="1">
      <alignment horizontal="left" vertical="center" indent="1"/>
    </xf>
    <xf numFmtId="1" fontId="44" fillId="3" borderId="8" xfId="0" applyNumberFormat="1" applyFont="1" applyFill="1" applyBorder="1" applyAlignment="1">
      <alignment horizontal="left" vertical="center" indent="1"/>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3" xfId="0" applyFill="1" applyBorder="1" applyAlignment="1">
      <alignment horizontal="left" vertical="center" indent="2"/>
    </xf>
    <xf numFmtId="0" fontId="0" fillId="3" borderId="5" xfId="0" applyFill="1" applyBorder="1" applyAlignment="1">
      <alignment horizontal="left" vertical="center" indent="2"/>
    </xf>
    <xf numFmtId="0" fontId="37" fillId="3" borderId="0" xfId="1" applyFont="1" applyFill="1" applyAlignment="1">
      <alignment horizontal="left" vertical="center"/>
    </xf>
    <xf numFmtId="0" fontId="19" fillId="3" borderId="0" xfId="0" applyFont="1" applyFill="1" applyAlignment="1">
      <alignment horizontal="left" vertical="center"/>
    </xf>
    <xf numFmtId="0" fontId="19" fillId="3" borderId="0" xfId="0" applyFont="1" applyFill="1" applyBorder="1" applyAlignment="1">
      <alignment horizontal="left"/>
    </xf>
    <xf numFmtId="0" fontId="7" fillId="3" borderId="7" xfId="0" applyFont="1" applyFill="1" applyBorder="1" applyAlignment="1">
      <alignment horizontal="left" vertical="center"/>
    </xf>
    <xf numFmtId="0" fontId="3" fillId="7" borderId="0" xfId="1" applyFill="1" applyAlignment="1">
      <alignment horizontal="center"/>
    </xf>
    <xf numFmtId="0" fontId="4" fillId="7" borderId="0" xfId="0" applyFont="1" applyFill="1" applyAlignment="1">
      <alignment horizontal="center"/>
    </xf>
    <xf numFmtId="0" fontId="23" fillId="3" borderId="0" xfId="1" applyFont="1" applyFill="1" applyAlignment="1">
      <alignment horizontal="left" vertical="top"/>
    </xf>
    <xf numFmtId="0" fontId="25" fillId="3" borderId="0" xfId="0" applyFont="1" applyFill="1" applyAlignment="1">
      <alignment horizontal="left"/>
    </xf>
    <xf numFmtId="0" fontId="7" fillId="3" borderId="1" xfId="0" applyFont="1" applyFill="1" applyBorder="1" applyAlignment="1">
      <alignment horizontal="left" vertical="top" indent="1"/>
    </xf>
    <xf numFmtId="0" fontId="7" fillId="3" borderId="8" xfId="0" applyFont="1" applyFill="1" applyBorder="1" applyAlignment="1">
      <alignment horizontal="left" vertical="top" indent="1"/>
    </xf>
    <xf numFmtId="0" fontId="7" fillId="3" borderId="3" xfId="0" applyFont="1" applyFill="1" applyBorder="1" applyAlignment="1">
      <alignment horizontal="left" vertical="top" indent="1"/>
    </xf>
    <xf numFmtId="0" fontId="7" fillId="3" borderId="0" xfId="0" applyFont="1" applyFill="1" applyBorder="1" applyAlignment="1">
      <alignment horizontal="left" vertical="top" indent="1"/>
    </xf>
    <xf numFmtId="0" fontId="39" fillId="3" borderId="0" xfId="1" applyFont="1" applyFill="1" applyAlignment="1">
      <alignment horizontal="center"/>
    </xf>
    <xf numFmtId="0" fontId="3" fillId="3" borderId="0" xfId="1" applyFont="1" applyFill="1" applyBorder="1" applyAlignment="1">
      <alignment horizontal="left"/>
    </xf>
  </cellXfs>
  <cellStyles count="3">
    <cellStyle name="Link" xfId="1" builtinId="8"/>
    <cellStyle name="Normal" xfId="0" builtinId="0"/>
    <cellStyle name="Normal 2" xfId="2" xr:uid="{86787999-DE5C-4923-81F1-51A305BC232C}"/>
  </cellStyles>
  <dxfs count="9">
    <dxf>
      <font>
        <b/>
        <i/>
        <strike val="0"/>
        <color auto="1"/>
      </font>
      <fill>
        <patternFill>
          <bgColor rgb="FFFFFF99"/>
        </patternFill>
      </fill>
    </dxf>
    <dxf>
      <font>
        <b/>
        <i val="0"/>
        <strike val="0"/>
        <color rgb="FF0000FF"/>
      </font>
      <numFmt numFmtId="30" formatCode="@"/>
      <fill>
        <patternFill patternType="solid">
          <bgColor rgb="FFFFFF99"/>
        </patternFill>
      </fill>
    </dxf>
    <dxf>
      <font>
        <b/>
        <i/>
        <strike val="0"/>
        <color auto="1"/>
      </font>
      <numFmt numFmtId="30" formatCode="@"/>
      <fill>
        <patternFill patternType="solid">
          <bgColor rgb="FFFFFF99"/>
        </patternFill>
      </fill>
    </dxf>
    <dxf>
      <font>
        <b/>
        <i/>
        <strike val="0"/>
        <u val="none"/>
        <color auto="1"/>
      </font>
      <fill>
        <patternFill>
          <bgColor rgb="FFFFFF99"/>
        </patternFill>
      </fill>
    </dxf>
    <dxf>
      <font>
        <strike/>
        <color rgb="FFFF0000"/>
      </font>
    </dxf>
    <dxf>
      <font>
        <b/>
        <i/>
        <color rgb="FFFF3300"/>
      </font>
    </dxf>
    <dxf>
      <fill>
        <patternFill>
          <bgColor theme="9" tint="0.59996337778862885"/>
        </patternFill>
      </fill>
      <border>
        <left style="thin">
          <color auto="1"/>
        </left>
        <right style="thin">
          <color auto="1"/>
        </right>
        <top style="thin">
          <color auto="1"/>
        </top>
        <bottom/>
        <vertical/>
        <horizontal/>
      </border>
    </dxf>
    <dxf>
      <fill>
        <patternFill>
          <bgColor theme="9" tint="0.59996337778862885"/>
        </patternFill>
      </fill>
      <border>
        <left style="thin">
          <color auto="1"/>
        </left>
        <right style="thin">
          <color auto="1"/>
        </right>
        <bottom style="thin">
          <color auto="1"/>
        </bottom>
        <vertical/>
        <horizontal/>
      </border>
    </dxf>
    <dxf>
      <font>
        <strike/>
        <color rgb="FFFF0000"/>
      </font>
    </dxf>
  </dxfs>
  <tableStyles count="0" defaultTableStyle="TableStyleMedium2" defaultPivotStyle="PivotStyleLight16"/>
  <colors>
    <mruColors>
      <color rgb="FFFF3300"/>
      <color rgb="FFFFFFCC"/>
      <color rgb="FFFFFF99"/>
      <color rgb="FF0000FF"/>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7" Type="http://schemas.openxmlformats.org/officeDocument/2006/relationships/image" Target="../media/image4.jpeg"/><Relationship Id="rId2" Type="http://schemas.openxmlformats.org/officeDocument/2006/relationships/hyperlink" Target="https://www.facebook.com/groups/pizzarennoerderi/permalink/1071998673677272" TargetMode="External"/><Relationship Id="rId1" Type="http://schemas.openxmlformats.org/officeDocument/2006/relationships/image" Target="../media/image1.png"/><Relationship Id="rId6" Type="http://schemas.openxmlformats.org/officeDocument/2006/relationships/hyperlink" Target="https://instagram.com/pizza.ren.norderi" TargetMode="External"/><Relationship Id="rId5" Type="http://schemas.openxmlformats.org/officeDocument/2006/relationships/image" Target="../media/image3.png"/><Relationship Id="rId4" Type="http://schemas.openxmlformats.org/officeDocument/2006/relationships/hyperlink" Target="https://www.facebook.com/groups/pizzarennoerderi/" TargetMode="External"/></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hyperlink" Target="https://www.youtube.com/watch?v=u7Hd6ZzKgBM&amp;t=186s" TargetMode="External"/><Relationship Id="rId7" Type="http://schemas.openxmlformats.org/officeDocument/2006/relationships/hyperlink" Target="https://www.youtube.com/watch?app=desktop&amp;v=G-jPoROGHGE" TargetMode="External"/><Relationship Id="rId2" Type="http://schemas.openxmlformats.org/officeDocument/2006/relationships/image" Target="../media/image6.jpeg"/><Relationship Id="rId1" Type="http://schemas.openxmlformats.org/officeDocument/2006/relationships/image" Target="../media/image5.jpeg"/><Relationship Id="rId6" Type="http://schemas.openxmlformats.org/officeDocument/2006/relationships/image" Target="../media/image8.png"/><Relationship Id="rId5" Type="http://schemas.openxmlformats.org/officeDocument/2006/relationships/hyperlink" Target="https://www.youtube.com/watch?v=Hl17sNlF9XI&amp;t=303s" TargetMode="External"/><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image" Target="../media/image11.jpeg"/><Relationship Id="rId7" Type="http://schemas.openxmlformats.org/officeDocument/2006/relationships/image" Target="../media/image4.jpeg"/><Relationship Id="rId2" Type="http://schemas.openxmlformats.org/officeDocument/2006/relationships/hyperlink" Target="https://www.facebook.com/groups/pizzarennoerderi/permalink/722299045313905" TargetMode="External"/><Relationship Id="rId1" Type="http://schemas.openxmlformats.org/officeDocument/2006/relationships/image" Target="../media/image10.jpeg"/><Relationship Id="rId6" Type="http://schemas.openxmlformats.org/officeDocument/2006/relationships/hyperlink" Target="https://instagram.com/pizza.ren.norderi" TargetMode="External"/><Relationship Id="rId5" Type="http://schemas.openxmlformats.org/officeDocument/2006/relationships/image" Target="../media/image3.png"/><Relationship Id="rId4" Type="http://schemas.openxmlformats.org/officeDocument/2006/relationships/hyperlink" Target="https://www.facebook.com/groups/pizzarennoerderi/" TargetMode="External"/></Relationships>
</file>

<file path=xl/drawings/_rels/drawing4.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image" Target="../media/image14.jpeg"/><Relationship Id="rId1" Type="http://schemas.openxmlformats.org/officeDocument/2006/relationships/image" Target="../media/image13.jpeg"/></Relationships>
</file>

<file path=xl/drawings/_rels/drawing6.xml.rels><?xml version="1.0" encoding="UTF-8" standalone="yes"?>
<Relationships xmlns="http://schemas.openxmlformats.org/package/2006/relationships"><Relationship Id="rId3" Type="http://schemas.openxmlformats.org/officeDocument/2006/relationships/image" Target="../media/image18.jpeg"/><Relationship Id="rId2" Type="http://schemas.openxmlformats.org/officeDocument/2006/relationships/image" Target="../media/image17.jpeg"/><Relationship Id="rId1" Type="http://schemas.openxmlformats.org/officeDocument/2006/relationships/image" Target="../media/image1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9.jpeg"/></Relationships>
</file>

<file path=xl/drawings/_rels/drawing8.xml.rels><?xml version="1.0" encoding="UTF-8" standalone="yes"?>
<Relationships xmlns="http://schemas.openxmlformats.org/package/2006/relationships"><Relationship Id="rId8" Type="http://schemas.openxmlformats.org/officeDocument/2006/relationships/image" Target="../media/image27.jpeg"/><Relationship Id="rId3" Type="http://schemas.openxmlformats.org/officeDocument/2006/relationships/image" Target="../media/image22.jpeg"/><Relationship Id="rId7" Type="http://schemas.openxmlformats.org/officeDocument/2006/relationships/image" Target="../media/image26.jpeg"/><Relationship Id="rId12" Type="http://schemas.openxmlformats.org/officeDocument/2006/relationships/image" Target="../media/image31.jpeg"/><Relationship Id="rId2" Type="http://schemas.openxmlformats.org/officeDocument/2006/relationships/image" Target="../media/image21.jpeg"/><Relationship Id="rId1" Type="http://schemas.openxmlformats.org/officeDocument/2006/relationships/image" Target="../media/image20.jpeg"/><Relationship Id="rId6" Type="http://schemas.openxmlformats.org/officeDocument/2006/relationships/image" Target="../media/image25.jpeg"/><Relationship Id="rId11" Type="http://schemas.openxmlformats.org/officeDocument/2006/relationships/image" Target="../media/image30.jpeg"/><Relationship Id="rId5" Type="http://schemas.openxmlformats.org/officeDocument/2006/relationships/image" Target="../media/image24.jpeg"/><Relationship Id="rId10" Type="http://schemas.openxmlformats.org/officeDocument/2006/relationships/image" Target="../media/image29.jpeg"/><Relationship Id="rId4" Type="http://schemas.openxmlformats.org/officeDocument/2006/relationships/image" Target="../media/image23.jpeg"/><Relationship Id="rId9" Type="http://schemas.openxmlformats.org/officeDocument/2006/relationships/image" Target="../media/image28.jpeg"/></Relationships>
</file>

<file path=xl/drawings/drawing1.xml><?xml version="1.0" encoding="utf-8"?>
<xdr:wsDr xmlns:xdr="http://schemas.openxmlformats.org/drawingml/2006/spreadsheetDrawing" xmlns:a="http://schemas.openxmlformats.org/drawingml/2006/main">
  <xdr:twoCellAnchor editAs="oneCell">
    <xdr:from>
      <xdr:col>11</xdr:col>
      <xdr:colOff>1162051</xdr:colOff>
      <xdr:row>0</xdr:row>
      <xdr:rowOff>76200</xdr:rowOff>
    </xdr:from>
    <xdr:to>
      <xdr:col>13</xdr:col>
      <xdr:colOff>209550</xdr:colOff>
      <xdr:row>6</xdr:row>
      <xdr:rowOff>106972</xdr:rowOff>
    </xdr:to>
    <xdr:pic>
      <xdr:nvPicPr>
        <xdr:cNvPr id="7" name="Billede 6">
          <a:extLst>
            <a:ext uri="{FF2B5EF4-FFF2-40B4-BE49-F238E27FC236}">
              <a16:creationId xmlns:a16="http://schemas.microsoft.com/office/drawing/2014/main" id="{5274D3AD-16E0-C8C3-7AE5-ED174BA50240}"/>
            </a:ext>
          </a:extLst>
        </xdr:cNvPr>
        <xdr:cNvPicPr>
          <a:picLocks noChangeAspect="1"/>
        </xdr:cNvPicPr>
      </xdr:nvPicPr>
      <xdr:blipFill>
        <a:blip xmlns:r="http://schemas.openxmlformats.org/officeDocument/2006/relationships" r:embed="rId1"/>
        <a:stretch>
          <a:fillRect/>
        </a:stretch>
      </xdr:blipFill>
      <xdr:spPr>
        <a:xfrm>
          <a:off x="7048501" y="76200"/>
          <a:ext cx="1314449" cy="1173772"/>
        </a:xfrm>
        <a:prstGeom prst="rect">
          <a:avLst/>
        </a:prstGeom>
      </xdr:spPr>
    </xdr:pic>
    <xdr:clientData/>
  </xdr:twoCellAnchor>
  <xdr:twoCellAnchor editAs="oneCell">
    <xdr:from>
      <xdr:col>0</xdr:col>
      <xdr:colOff>1</xdr:colOff>
      <xdr:row>0</xdr:row>
      <xdr:rowOff>0</xdr:rowOff>
    </xdr:from>
    <xdr:to>
      <xdr:col>11</xdr:col>
      <xdr:colOff>1001109</xdr:colOff>
      <xdr:row>7</xdr:row>
      <xdr:rowOff>9525</xdr:rowOff>
    </xdr:to>
    <xdr:pic>
      <xdr:nvPicPr>
        <xdr:cNvPr id="13" name="Billede 12">
          <a:hlinkClick xmlns:r="http://schemas.openxmlformats.org/officeDocument/2006/relationships" r:id="rId2"/>
          <a:extLst>
            <a:ext uri="{FF2B5EF4-FFF2-40B4-BE49-F238E27FC236}">
              <a16:creationId xmlns:a16="http://schemas.microsoft.com/office/drawing/2014/main" id="{CDC7C995-CF72-5C21-4266-B40A645BCE53}"/>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38464" b="45937"/>
        <a:stretch/>
      </xdr:blipFill>
      <xdr:spPr bwMode="auto">
        <a:xfrm>
          <a:off x="1" y="0"/>
          <a:ext cx="6887558" cy="1343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415305</xdr:colOff>
      <xdr:row>8</xdr:row>
      <xdr:rowOff>62347</xdr:rowOff>
    </xdr:from>
    <xdr:to>
      <xdr:col>12</xdr:col>
      <xdr:colOff>716808</xdr:colOff>
      <xdr:row>9</xdr:row>
      <xdr:rowOff>149171</xdr:rowOff>
    </xdr:to>
    <xdr:pic>
      <xdr:nvPicPr>
        <xdr:cNvPr id="14" name="Billede 13">
          <a:hlinkClick xmlns:r="http://schemas.openxmlformats.org/officeDocument/2006/relationships" r:id="rId4"/>
          <a:extLst>
            <a:ext uri="{FF2B5EF4-FFF2-40B4-BE49-F238E27FC236}">
              <a16:creationId xmlns:a16="http://schemas.microsoft.com/office/drawing/2014/main" id="{74BA3238-F12A-4C40-B556-082A88A09653}"/>
            </a:ext>
          </a:extLst>
        </xdr:cNvPr>
        <xdr:cNvPicPr>
          <a:picLocks noChangeAspect="1" noChangeArrowheads="1"/>
        </xdr:cNvPicPr>
      </xdr:nvPicPr>
      <xdr:blipFill rotWithShape="1">
        <a:blip xmlns:r="http://schemas.openxmlformats.org/officeDocument/2006/relationships" r:embed="rId5" cstate="email">
          <a:extLst>
            <a:ext uri="{28A0092B-C50C-407E-A947-70E740481C1C}">
              <a14:useLocalDpi xmlns:a14="http://schemas.microsoft.com/office/drawing/2010/main"/>
            </a:ext>
          </a:extLst>
        </a:blip>
        <a:srcRect l="17143" t="17143" r="16429" b="16429"/>
        <a:stretch/>
      </xdr:blipFill>
      <xdr:spPr bwMode="auto">
        <a:xfrm>
          <a:off x="7844805" y="1586347"/>
          <a:ext cx="301503" cy="305899"/>
        </a:xfrm>
        <a:prstGeom prst="rect">
          <a:avLst/>
        </a:prstGeom>
        <a:noFill/>
        <a:extLst>
          <a:ext uri="{909E8E84-426E-40DD-AFC4-6F175D3DCCD1}">
            <a14:hiddenFill xmlns:a14="http://schemas.microsoft.com/office/drawing/2010/main">
              <a:solidFill>
                <a:srgbClr val="FFFFFF"/>
              </a:solidFill>
            </a14:hiddenFill>
          </a:ext>
        </a:extLst>
      </xdr:spPr>
    </xdr:pic>
    <xdr:clientData fPrintsWithSheet="0"/>
  </xdr:twoCellAnchor>
  <xdr:twoCellAnchor editAs="oneCell">
    <xdr:from>
      <xdr:col>12</xdr:col>
      <xdr:colOff>28575</xdr:colOff>
      <xdr:row>8</xdr:row>
      <xdr:rowOff>57150</xdr:rowOff>
    </xdr:from>
    <xdr:to>
      <xdr:col>12</xdr:col>
      <xdr:colOff>341687</xdr:colOff>
      <xdr:row>9</xdr:row>
      <xdr:rowOff>147439</xdr:rowOff>
    </xdr:to>
    <xdr:pic>
      <xdr:nvPicPr>
        <xdr:cNvPr id="15" name="Billede 14">
          <a:hlinkClick xmlns:r="http://schemas.openxmlformats.org/officeDocument/2006/relationships" r:id="rId6"/>
          <a:extLst>
            <a:ext uri="{FF2B5EF4-FFF2-40B4-BE49-F238E27FC236}">
              <a16:creationId xmlns:a16="http://schemas.microsoft.com/office/drawing/2014/main" id="{F2520870-EA90-41B4-97A9-3211D63A3DC0}"/>
            </a:ext>
          </a:extLst>
        </xdr:cNvPr>
        <xdr:cNvPicPr>
          <a:picLocks noChangeAspect="1" noChangeArrowheads="1"/>
        </xdr:cNvPicPr>
      </xdr:nvPicPr>
      <xdr:blipFill rotWithShape="1">
        <a:blip xmlns:r="http://schemas.openxmlformats.org/officeDocument/2006/relationships" r:embed="rId7" cstate="email">
          <a:extLst>
            <a:ext uri="{28A0092B-C50C-407E-A947-70E740481C1C}">
              <a14:useLocalDpi xmlns:a14="http://schemas.microsoft.com/office/drawing/2010/main"/>
            </a:ext>
          </a:extLst>
        </a:blip>
        <a:srcRect/>
        <a:stretch/>
      </xdr:blipFill>
      <xdr:spPr bwMode="auto">
        <a:xfrm>
          <a:off x="7458075" y="1581150"/>
          <a:ext cx="313112" cy="309364"/>
        </a:xfrm>
        <a:prstGeom prst="rect">
          <a:avLst/>
        </a:prstGeom>
        <a:noFill/>
        <a:extLst>
          <a:ext uri="{909E8E84-426E-40DD-AFC4-6F175D3DCCD1}">
            <a14:hiddenFill xmlns:a14="http://schemas.microsoft.com/office/drawing/2010/main">
              <a:solidFill>
                <a:srgbClr val="FFFFFF"/>
              </a:solidFill>
            </a14:hiddenFill>
          </a:ext>
        </a:extLst>
      </xdr:spPr>
    </xdr:pic>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0</xdr:colOff>
      <xdr:row>7</xdr:row>
      <xdr:rowOff>9525</xdr:rowOff>
    </xdr:to>
    <xdr:pic>
      <xdr:nvPicPr>
        <xdr:cNvPr id="2" name="Billede 1">
          <a:extLst>
            <a:ext uri="{FF2B5EF4-FFF2-40B4-BE49-F238E27FC236}">
              <a16:creationId xmlns:a16="http://schemas.microsoft.com/office/drawing/2014/main" id="{0DCD3C05-6B11-440C-8619-F07C40BB415F}"/>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0" y="0"/>
          <a:ext cx="8928100" cy="1295400"/>
        </a:xfrm>
        <a:prstGeom prst="rect">
          <a:avLst/>
        </a:prstGeom>
      </xdr:spPr>
    </xdr:pic>
    <xdr:clientData/>
  </xdr:twoCellAnchor>
  <xdr:twoCellAnchor editAs="oneCell">
    <xdr:from>
      <xdr:col>1</xdr:col>
      <xdr:colOff>110192</xdr:colOff>
      <xdr:row>18</xdr:row>
      <xdr:rowOff>95624</xdr:rowOff>
    </xdr:from>
    <xdr:to>
      <xdr:col>2</xdr:col>
      <xdr:colOff>313579</xdr:colOff>
      <xdr:row>19</xdr:row>
      <xdr:rowOff>95227</xdr:rowOff>
    </xdr:to>
    <xdr:pic>
      <xdr:nvPicPr>
        <xdr:cNvPr id="3" name="Billede 2" descr="youtube logo | redsoul300 | Flickr">
          <a:extLst>
            <a:ext uri="{FF2B5EF4-FFF2-40B4-BE49-F238E27FC236}">
              <a16:creationId xmlns:a16="http://schemas.microsoft.com/office/drawing/2014/main" id="{DDA13044-E8C0-495D-83F3-10FEFC315A70}"/>
            </a:ext>
          </a:extLst>
        </xdr:cNvPr>
        <xdr:cNvPicPr>
          <a:picLocks noChangeAspect="1" noChangeArrowheads="1"/>
        </xdr:cNvPicPr>
      </xdr:nvPicPr>
      <xdr:blipFill rotWithShape="1">
        <a:blip xmlns:r="http://schemas.openxmlformats.org/officeDocument/2006/relationships" r:embed="rId2" cstate="email">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bwMode="auto">
        <a:xfrm>
          <a:off x="281642" y="3321424"/>
          <a:ext cx="435162" cy="1837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75453</xdr:colOff>
      <xdr:row>18</xdr:row>
      <xdr:rowOff>113178</xdr:rowOff>
    </xdr:from>
    <xdr:to>
      <xdr:col>8</xdr:col>
      <xdr:colOff>341678</xdr:colOff>
      <xdr:row>26</xdr:row>
      <xdr:rowOff>64059</xdr:rowOff>
    </xdr:to>
    <xdr:pic>
      <xdr:nvPicPr>
        <xdr:cNvPr id="4" name="Billede 3">
          <a:hlinkClick xmlns:r="http://schemas.openxmlformats.org/officeDocument/2006/relationships" r:id="rId3"/>
          <a:extLst>
            <a:ext uri="{FF2B5EF4-FFF2-40B4-BE49-F238E27FC236}">
              <a16:creationId xmlns:a16="http://schemas.microsoft.com/office/drawing/2014/main" id="{488A7535-935C-4CCA-A7BB-E62AED7EA3F7}"/>
            </a:ext>
          </a:extLst>
        </xdr:cNvPr>
        <xdr:cNvPicPr>
          <a:picLocks noChangeAspect="1"/>
        </xdr:cNvPicPr>
      </xdr:nvPicPr>
      <xdr:blipFill>
        <a:blip xmlns:r="http://schemas.openxmlformats.org/officeDocument/2006/relationships" r:embed="rId4">
          <a:clrChange>
            <a:clrFrom>
              <a:srgbClr val="F1F1F1"/>
            </a:clrFrom>
            <a:clrTo>
              <a:srgbClr val="F1F1F1">
                <a:alpha val="0"/>
              </a:srgbClr>
            </a:clrTo>
          </a:clrChange>
        </a:blip>
        <a:stretch>
          <a:fillRect/>
        </a:stretch>
      </xdr:blipFill>
      <xdr:spPr>
        <a:xfrm>
          <a:off x="3580653" y="3338978"/>
          <a:ext cx="1834675" cy="1420906"/>
        </a:xfrm>
        <a:prstGeom prst="rect">
          <a:avLst/>
        </a:prstGeom>
      </xdr:spPr>
    </xdr:pic>
    <xdr:clientData/>
  </xdr:twoCellAnchor>
  <xdr:twoCellAnchor editAs="oneCell">
    <xdr:from>
      <xdr:col>11</xdr:col>
      <xdr:colOff>301818</xdr:colOff>
      <xdr:row>18</xdr:row>
      <xdr:rowOff>126999</xdr:rowOff>
    </xdr:from>
    <xdr:to>
      <xdr:col>12</xdr:col>
      <xdr:colOff>516976</xdr:colOff>
      <xdr:row>26</xdr:row>
      <xdr:rowOff>59764</xdr:rowOff>
    </xdr:to>
    <xdr:pic>
      <xdr:nvPicPr>
        <xdr:cNvPr id="5" name="Billede 4">
          <a:hlinkClick xmlns:r="http://schemas.openxmlformats.org/officeDocument/2006/relationships" r:id="rId5"/>
          <a:extLst>
            <a:ext uri="{FF2B5EF4-FFF2-40B4-BE49-F238E27FC236}">
              <a16:creationId xmlns:a16="http://schemas.microsoft.com/office/drawing/2014/main" id="{586CED3D-ED10-4BA8-BF6C-7D79F9747C6C}"/>
            </a:ext>
          </a:extLst>
        </xdr:cNvPr>
        <xdr:cNvPicPr>
          <a:picLocks noChangeAspect="1"/>
        </xdr:cNvPicPr>
      </xdr:nvPicPr>
      <xdr:blipFill>
        <a:blip xmlns:r="http://schemas.openxmlformats.org/officeDocument/2006/relationships" r:embed="rId6">
          <a:clrChange>
            <a:clrFrom>
              <a:srgbClr val="F1F1F1"/>
            </a:clrFrom>
            <a:clrTo>
              <a:srgbClr val="F1F1F1">
                <a:alpha val="0"/>
              </a:srgbClr>
            </a:clrTo>
          </a:clrChange>
        </a:blip>
        <a:stretch>
          <a:fillRect/>
        </a:stretch>
      </xdr:blipFill>
      <xdr:spPr>
        <a:xfrm>
          <a:off x="6474018" y="3352799"/>
          <a:ext cx="1834986" cy="1405965"/>
        </a:xfrm>
        <a:prstGeom prst="rect">
          <a:avLst/>
        </a:prstGeom>
      </xdr:spPr>
    </xdr:pic>
    <xdr:clientData/>
  </xdr:twoCellAnchor>
  <xdr:twoCellAnchor editAs="oneCell">
    <xdr:from>
      <xdr:col>3</xdr:col>
      <xdr:colOff>108185</xdr:colOff>
      <xdr:row>18</xdr:row>
      <xdr:rowOff>109372</xdr:rowOff>
    </xdr:from>
    <xdr:to>
      <xdr:col>4</xdr:col>
      <xdr:colOff>504078</xdr:colOff>
      <xdr:row>26</xdr:row>
      <xdr:rowOff>49776</xdr:rowOff>
    </xdr:to>
    <xdr:pic>
      <xdr:nvPicPr>
        <xdr:cNvPr id="6" name="Billede 5">
          <a:hlinkClick xmlns:r="http://schemas.openxmlformats.org/officeDocument/2006/relationships" r:id="rId7"/>
          <a:extLst>
            <a:ext uri="{FF2B5EF4-FFF2-40B4-BE49-F238E27FC236}">
              <a16:creationId xmlns:a16="http://schemas.microsoft.com/office/drawing/2014/main" id="{F0486622-1F69-4697-AF34-856A1E074985}"/>
            </a:ext>
          </a:extLst>
        </xdr:cNvPr>
        <xdr:cNvPicPr>
          <a:picLocks noChangeAspect="1"/>
        </xdr:cNvPicPr>
      </xdr:nvPicPr>
      <xdr:blipFill>
        <a:blip xmlns:r="http://schemas.openxmlformats.org/officeDocument/2006/relationships" r:embed="rId8">
          <a:clrChange>
            <a:clrFrom>
              <a:srgbClr val="F1F1F1"/>
            </a:clrFrom>
            <a:clrTo>
              <a:srgbClr val="F1F1F1">
                <a:alpha val="0"/>
              </a:srgbClr>
            </a:clrTo>
          </a:clrChange>
        </a:blip>
        <a:stretch>
          <a:fillRect/>
        </a:stretch>
      </xdr:blipFill>
      <xdr:spPr>
        <a:xfrm>
          <a:off x="959085" y="3335172"/>
          <a:ext cx="1853218" cy="14104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203060</xdr:colOff>
      <xdr:row>40</xdr:row>
      <xdr:rowOff>170537</xdr:rowOff>
    </xdr:from>
    <xdr:to>
      <xdr:col>14</xdr:col>
      <xdr:colOff>558</xdr:colOff>
      <xdr:row>68</xdr:row>
      <xdr:rowOff>131516</xdr:rowOff>
    </xdr:to>
    <xdr:pic>
      <xdr:nvPicPr>
        <xdr:cNvPr id="3" name="Billede 2" descr="Neapolitan history through the history of Pizza Margherita | visitnaples.eu">
          <a:extLst>
            <a:ext uri="{FF2B5EF4-FFF2-40B4-BE49-F238E27FC236}">
              <a16:creationId xmlns:a16="http://schemas.microsoft.com/office/drawing/2014/main" id="{550B2029-7549-4A98-B6A1-3B4895947F95}"/>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22135" y="5942687"/>
          <a:ext cx="7614226" cy="4304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12</xdr:col>
      <xdr:colOff>91586</xdr:colOff>
      <xdr:row>6</xdr:row>
      <xdr:rowOff>185982</xdr:rowOff>
    </xdr:to>
    <xdr:pic>
      <xdr:nvPicPr>
        <xdr:cNvPr id="6" name="Billede 5">
          <a:hlinkClick xmlns:r="http://schemas.openxmlformats.org/officeDocument/2006/relationships" r:id="rId2"/>
          <a:extLst>
            <a:ext uri="{FF2B5EF4-FFF2-40B4-BE49-F238E27FC236}">
              <a16:creationId xmlns:a16="http://schemas.microsoft.com/office/drawing/2014/main" id="{105E0485-79E7-45CC-9F1D-6A8635FF46C6}"/>
            </a:ext>
          </a:extLst>
        </xdr:cNvPr>
        <xdr:cNvPicPr>
          <a:picLocks noChangeAspect="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l="10441" r="8469"/>
        <a:stretch/>
      </xdr:blipFill>
      <xdr:spPr>
        <a:xfrm>
          <a:off x="0" y="0"/>
          <a:ext cx="6401899" cy="1339972"/>
        </a:xfrm>
        <a:prstGeom prst="rect">
          <a:avLst/>
        </a:prstGeom>
      </xdr:spPr>
    </xdr:pic>
    <xdr:clientData/>
  </xdr:twoCellAnchor>
  <xdr:twoCellAnchor editAs="oneCell">
    <xdr:from>
      <xdr:col>13</xdr:col>
      <xdr:colOff>609753</xdr:colOff>
      <xdr:row>7</xdr:row>
      <xdr:rowOff>89088</xdr:rowOff>
    </xdr:from>
    <xdr:to>
      <xdr:col>14</xdr:col>
      <xdr:colOff>114453</xdr:colOff>
      <xdr:row>8</xdr:row>
      <xdr:rowOff>184338</xdr:rowOff>
    </xdr:to>
    <xdr:pic>
      <xdr:nvPicPr>
        <xdr:cNvPr id="4" name="Billede 3">
          <a:hlinkClick xmlns:r="http://schemas.openxmlformats.org/officeDocument/2006/relationships" r:id="rId4"/>
          <a:extLst>
            <a:ext uri="{FF2B5EF4-FFF2-40B4-BE49-F238E27FC236}">
              <a16:creationId xmlns:a16="http://schemas.microsoft.com/office/drawing/2014/main" id="{F43CC0A1-1046-42C9-A3D3-C016717E3365}"/>
            </a:ext>
          </a:extLst>
        </xdr:cNvPr>
        <xdr:cNvPicPr>
          <a:picLocks noChangeAspect="1" noChangeArrowheads="1"/>
        </xdr:cNvPicPr>
      </xdr:nvPicPr>
      <xdr:blipFill rotWithShape="1">
        <a:blip xmlns:r="http://schemas.openxmlformats.org/officeDocument/2006/relationships" r:embed="rId5" cstate="email">
          <a:extLst>
            <a:ext uri="{28A0092B-C50C-407E-A947-70E740481C1C}">
              <a14:useLocalDpi xmlns:a14="http://schemas.microsoft.com/office/drawing/2010/main"/>
            </a:ext>
          </a:extLst>
        </a:blip>
        <a:srcRect l="17143" t="17143" r="16429" b="16429"/>
        <a:stretch/>
      </xdr:blipFill>
      <xdr:spPr bwMode="auto">
        <a:xfrm>
          <a:off x="7523782" y="1422588"/>
          <a:ext cx="300318" cy="308162"/>
        </a:xfrm>
        <a:prstGeom prst="rect">
          <a:avLst/>
        </a:prstGeom>
        <a:noFill/>
        <a:extLst>
          <a:ext uri="{909E8E84-426E-40DD-AFC4-6F175D3DCCD1}">
            <a14:hiddenFill xmlns:a14="http://schemas.microsoft.com/office/drawing/2010/main">
              <a:solidFill>
                <a:srgbClr val="FFFFFF"/>
              </a:solidFill>
            </a14:hiddenFill>
          </a:ext>
        </a:extLst>
      </xdr:spPr>
    </xdr:pic>
    <xdr:clientData fPrintsWithSheet="0"/>
  </xdr:twoCellAnchor>
  <xdr:twoCellAnchor editAs="oneCell">
    <xdr:from>
      <xdr:col>13</xdr:col>
      <xdr:colOff>223023</xdr:colOff>
      <xdr:row>7</xdr:row>
      <xdr:rowOff>83891</xdr:rowOff>
    </xdr:from>
    <xdr:to>
      <xdr:col>13</xdr:col>
      <xdr:colOff>536135</xdr:colOff>
      <xdr:row>8</xdr:row>
      <xdr:rowOff>182606</xdr:rowOff>
    </xdr:to>
    <xdr:pic>
      <xdr:nvPicPr>
        <xdr:cNvPr id="5" name="Billede 4">
          <a:hlinkClick xmlns:r="http://schemas.openxmlformats.org/officeDocument/2006/relationships" r:id="rId6"/>
          <a:extLst>
            <a:ext uri="{FF2B5EF4-FFF2-40B4-BE49-F238E27FC236}">
              <a16:creationId xmlns:a16="http://schemas.microsoft.com/office/drawing/2014/main" id="{BB2A61AF-A1F3-4D10-ACBC-69CBD65D02B7}"/>
            </a:ext>
          </a:extLst>
        </xdr:cNvPr>
        <xdr:cNvPicPr>
          <a:picLocks noChangeAspect="1" noChangeArrowheads="1"/>
        </xdr:cNvPicPr>
      </xdr:nvPicPr>
      <xdr:blipFill rotWithShape="1">
        <a:blip xmlns:r="http://schemas.openxmlformats.org/officeDocument/2006/relationships" r:embed="rId7" cstate="email">
          <a:extLst>
            <a:ext uri="{28A0092B-C50C-407E-A947-70E740481C1C}">
              <a14:useLocalDpi xmlns:a14="http://schemas.microsoft.com/office/drawing/2010/main"/>
            </a:ext>
          </a:extLst>
        </a:blip>
        <a:srcRect/>
        <a:stretch/>
      </xdr:blipFill>
      <xdr:spPr bwMode="auto">
        <a:xfrm>
          <a:off x="7137052" y="1417391"/>
          <a:ext cx="313112" cy="311627"/>
        </a:xfrm>
        <a:prstGeom prst="rect">
          <a:avLst/>
        </a:prstGeom>
        <a:noFill/>
        <a:extLst>
          <a:ext uri="{909E8E84-426E-40DD-AFC4-6F175D3DCCD1}">
            <a14:hiddenFill xmlns:a14="http://schemas.microsoft.com/office/drawing/2010/main">
              <a:solidFill>
                <a:srgbClr val="FFFFFF"/>
              </a:solidFill>
            </a14:hiddenFill>
          </a:ext>
        </a:extLst>
      </xdr:spPr>
    </xdr:pic>
    <xdr:clientData fPrintsWithSheet="0"/>
  </xdr:twoCellAnchor>
  <xdr:twoCellAnchor editAs="oneCell">
    <xdr:from>
      <xdr:col>12</xdr:col>
      <xdr:colOff>201489</xdr:colOff>
      <xdr:row>0</xdr:row>
      <xdr:rowOff>91587</xdr:rowOff>
    </xdr:from>
    <xdr:to>
      <xdr:col>14</xdr:col>
      <xdr:colOff>142140</xdr:colOff>
      <xdr:row>6</xdr:row>
      <xdr:rowOff>111369</xdr:rowOff>
    </xdr:to>
    <xdr:pic>
      <xdr:nvPicPr>
        <xdr:cNvPr id="8" name="Billede 7">
          <a:extLst>
            <a:ext uri="{FF2B5EF4-FFF2-40B4-BE49-F238E27FC236}">
              <a16:creationId xmlns:a16="http://schemas.microsoft.com/office/drawing/2014/main" id="{BADA4A19-27DC-419A-9773-0F597CBDF1C7}"/>
            </a:ext>
          </a:extLst>
        </xdr:cNvPr>
        <xdr:cNvPicPr>
          <a:picLocks noChangeAspect="1"/>
        </xdr:cNvPicPr>
      </xdr:nvPicPr>
      <xdr:blipFill>
        <a:blip xmlns:r="http://schemas.openxmlformats.org/officeDocument/2006/relationships" r:embed="rId8"/>
        <a:stretch>
          <a:fillRect/>
        </a:stretch>
      </xdr:blipFill>
      <xdr:spPr>
        <a:xfrm>
          <a:off x="6511802" y="91587"/>
          <a:ext cx="1314449" cy="11737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0</xdr:colOff>
      <xdr:row>6</xdr:row>
      <xdr:rowOff>177800</xdr:rowOff>
    </xdr:to>
    <xdr:pic>
      <xdr:nvPicPr>
        <xdr:cNvPr id="2" name="Billede 1" descr="Dough-Banner - The Essential Baking Company">
          <a:extLst>
            <a:ext uri="{FF2B5EF4-FFF2-40B4-BE49-F238E27FC236}">
              <a16:creationId xmlns:a16="http://schemas.microsoft.com/office/drawing/2014/main" id="{F0158E7D-16DF-48EE-ACEE-26A18842D561}"/>
            </a:ext>
          </a:extLst>
        </xdr:cNvPr>
        <xdr:cNvPicPr>
          <a:picLocks noChangeAspect="1" noChangeArrowheads="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bwMode="auto">
        <a:xfrm>
          <a:off x="0" y="0"/>
          <a:ext cx="9315450" cy="128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127001</xdr:colOff>
      <xdr:row>0</xdr:row>
      <xdr:rowOff>57150</xdr:rowOff>
    </xdr:from>
    <xdr:to>
      <xdr:col>7</xdr:col>
      <xdr:colOff>120650</xdr:colOff>
      <xdr:row>33</xdr:row>
      <xdr:rowOff>6594</xdr:rowOff>
    </xdr:to>
    <xdr:pic>
      <xdr:nvPicPr>
        <xdr:cNvPr id="3" name="Billede 2">
          <a:extLst>
            <a:ext uri="{FF2B5EF4-FFF2-40B4-BE49-F238E27FC236}">
              <a16:creationId xmlns:a16="http://schemas.microsoft.com/office/drawing/2014/main" id="{9FBC7B01-8E19-447F-B0A3-E15BF042BEB5}"/>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27001" y="57150"/>
          <a:ext cx="4260849" cy="6026394"/>
        </a:xfrm>
        <a:prstGeom prst="rect">
          <a:avLst/>
        </a:prstGeom>
      </xdr:spPr>
    </xdr:pic>
    <xdr:clientData/>
  </xdr:twoCellAnchor>
  <xdr:twoCellAnchor editAs="oneCell">
    <xdr:from>
      <xdr:col>7</xdr:col>
      <xdr:colOff>231775</xdr:colOff>
      <xdr:row>10</xdr:row>
      <xdr:rowOff>6350</xdr:rowOff>
    </xdr:from>
    <xdr:to>
      <xdr:col>13</xdr:col>
      <xdr:colOff>69636</xdr:colOff>
      <xdr:row>32</xdr:row>
      <xdr:rowOff>177800</xdr:rowOff>
    </xdr:to>
    <xdr:pic>
      <xdr:nvPicPr>
        <xdr:cNvPr id="5" name="Billede 4">
          <a:extLst>
            <a:ext uri="{FF2B5EF4-FFF2-40B4-BE49-F238E27FC236}">
              <a16:creationId xmlns:a16="http://schemas.microsoft.com/office/drawing/2014/main" id="{0E607901-92D2-4861-AE8E-4C250ABD52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4298950" y="1911350"/>
          <a:ext cx="3324011" cy="4362450"/>
        </a:xfrm>
        <a:prstGeom prst="rect">
          <a:avLst/>
        </a:prstGeom>
      </xdr:spPr>
    </xdr:pic>
    <xdr:clientData/>
  </xdr:twoCellAnchor>
  <xdr:twoCellAnchor editAs="oneCell">
    <xdr:from>
      <xdr:col>0</xdr:col>
      <xdr:colOff>431800</xdr:colOff>
      <xdr:row>33</xdr:row>
      <xdr:rowOff>101599</xdr:rowOff>
    </xdr:from>
    <xdr:to>
      <xdr:col>12</xdr:col>
      <xdr:colOff>577850</xdr:colOff>
      <xdr:row>54</xdr:row>
      <xdr:rowOff>48814</xdr:rowOff>
    </xdr:to>
    <xdr:pic>
      <xdr:nvPicPr>
        <xdr:cNvPr id="7" name="Billede 6">
          <a:extLst>
            <a:ext uri="{FF2B5EF4-FFF2-40B4-BE49-F238E27FC236}">
              <a16:creationId xmlns:a16="http://schemas.microsoft.com/office/drawing/2014/main" id="{5BB0024E-5D1B-41C9-A133-C9D309EE4925}"/>
            </a:ext>
          </a:extLst>
        </xdr:cNvPr>
        <xdr:cNvPicPr>
          <a:picLocks noChangeAspect="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a:stretch/>
      </xdr:blipFill>
      <xdr:spPr>
        <a:xfrm>
          <a:off x="431800" y="6178549"/>
          <a:ext cx="7461250" cy="381436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485775</xdr:colOff>
      <xdr:row>25</xdr:row>
      <xdr:rowOff>9526</xdr:rowOff>
    </xdr:from>
    <xdr:to>
      <xdr:col>11</xdr:col>
      <xdr:colOff>34925</xdr:colOff>
      <xdr:row>33</xdr:row>
      <xdr:rowOff>130657</xdr:rowOff>
    </xdr:to>
    <xdr:pic>
      <xdr:nvPicPr>
        <xdr:cNvPr id="3" name="Billede 2" descr="Glass jar with homemade classic spicy tomato pasta or pizza sauce. ⬇ Stock  Photo, Image by © IMelnyk #218039104">
          <a:extLst>
            <a:ext uri="{FF2B5EF4-FFF2-40B4-BE49-F238E27FC236}">
              <a16:creationId xmlns:a16="http://schemas.microsoft.com/office/drawing/2014/main" id="{DD33FE36-BD79-4216-A6C3-948E474E939D}"/>
            </a:ext>
          </a:extLst>
        </xdr:cNvPr>
        <xdr:cNvPicPr>
          <a:picLocks noChangeAspect="1" noChangeArrowheads="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bwMode="auto">
        <a:xfrm>
          <a:off x="3409950" y="4391026"/>
          <a:ext cx="1981200" cy="16451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25</xdr:row>
      <xdr:rowOff>0</xdr:rowOff>
    </xdr:from>
    <xdr:to>
      <xdr:col>7</xdr:col>
      <xdr:colOff>321026</xdr:colOff>
      <xdr:row>33</xdr:row>
      <xdr:rowOff>149225</xdr:rowOff>
    </xdr:to>
    <xdr:pic>
      <xdr:nvPicPr>
        <xdr:cNvPr id="4" name="Billede 3">
          <a:extLst>
            <a:ext uri="{FF2B5EF4-FFF2-40B4-BE49-F238E27FC236}">
              <a16:creationId xmlns:a16="http://schemas.microsoft.com/office/drawing/2014/main" id="{87AEC527-EB50-46BE-AB15-173A6011340C}"/>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228600" y="4381500"/>
          <a:ext cx="3007076" cy="1666875"/>
        </a:xfrm>
        <a:prstGeom prst="rect">
          <a:avLst/>
        </a:prstGeom>
      </xdr:spPr>
    </xdr:pic>
    <xdr:clientData/>
  </xdr:twoCellAnchor>
  <xdr:twoCellAnchor editAs="oneCell">
    <xdr:from>
      <xdr:col>1</xdr:col>
      <xdr:colOff>38101</xdr:colOff>
      <xdr:row>69</xdr:row>
      <xdr:rowOff>190499</xdr:rowOff>
    </xdr:from>
    <xdr:to>
      <xdr:col>10</xdr:col>
      <xdr:colOff>590550</xdr:colOff>
      <xdr:row>96</xdr:row>
      <xdr:rowOff>131249</xdr:rowOff>
    </xdr:to>
    <xdr:pic>
      <xdr:nvPicPr>
        <xdr:cNvPr id="6" name="Billede 5" descr="Step by step photos for making authentic Italian tomato sauce">
          <a:extLst>
            <a:ext uri="{FF2B5EF4-FFF2-40B4-BE49-F238E27FC236}">
              <a16:creationId xmlns:a16="http://schemas.microsoft.com/office/drawing/2014/main" id="{F296D47B-1AC4-48D3-B749-2AFF20095ED4}"/>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266701" y="13439774"/>
          <a:ext cx="5076824" cy="508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16384</xdr:col>
      <xdr:colOff>19050</xdr:colOff>
      <xdr:row>6</xdr:row>
      <xdr:rowOff>190499</xdr:rowOff>
    </xdr:to>
    <xdr:pic>
      <xdr:nvPicPr>
        <xdr:cNvPr id="2" name="Billede 1" descr="Red Hot Chili Peppers on Rusty Background Stock Photo - Image of ground,  chilli: 105418844">
          <a:extLst>
            <a:ext uri="{FF2B5EF4-FFF2-40B4-BE49-F238E27FC236}">
              <a16:creationId xmlns:a16="http://schemas.microsoft.com/office/drawing/2014/main" id="{84281A04-02A4-4D23-ABC6-8CD406F8BA8F}"/>
            </a:ext>
          </a:extLst>
        </xdr:cNvPr>
        <xdr:cNvPicPr>
          <a:picLocks noChangeAspect="1" noChangeArrowheads="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r="-110"/>
        <a:stretch/>
      </xdr:blipFill>
      <xdr:spPr bwMode="auto">
        <a:xfrm>
          <a:off x="9525" y="0"/>
          <a:ext cx="8696325" cy="1333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38176</xdr:colOff>
      <xdr:row>17</xdr:row>
      <xdr:rowOff>98424</xdr:rowOff>
    </xdr:from>
    <xdr:to>
      <xdr:col>7</xdr:col>
      <xdr:colOff>35039</xdr:colOff>
      <xdr:row>28</xdr:row>
      <xdr:rowOff>92075</xdr:rowOff>
    </xdr:to>
    <xdr:pic>
      <xdr:nvPicPr>
        <xdr:cNvPr id="2" name="Billede 1" descr="Pizza Caprese: The Recipe to prepare a House - Silvio Cicchi">
          <a:extLst>
            <a:ext uri="{FF2B5EF4-FFF2-40B4-BE49-F238E27FC236}">
              <a16:creationId xmlns:a16="http://schemas.microsoft.com/office/drawing/2014/main" id="{A79B18A8-FA25-4A3D-9141-72640382836B}"/>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390601" y="2917824"/>
          <a:ext cx="3044863" cy="19970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xdr:colOff>
      <xdr:row>21</xdr:row>
      <xdr:rowOff>0</xdr:rowOff>
    </xdr:from>
    <xdr:to>
      <xdr:col>15</xdr:col>
      <xdr:colOff>2746</xdr:colOff>
      <xdr:row>31</xdr:row>
      <xdr:rowOff>152400</xdr:rowOff>
    </xdr:to>
    <xdr:pic>
      <xdr:nvPicPr>
        <xdr:cNvPr id="6" name="imi" descr="Close up of traditional Pizza Capricciosa in italian restaurant. Front  view. Italian food concept Stock Photo - Alamy">
          <a:extLst>
            <a:ext uri="{FF2B5EF4-FFF2-40B4-BE49-F238E27FC236}">
              <a16:creationId xmlns:a16="http://schemas.microsoft.com/office/drawing/2014/main" id="{23D007C1-1863-4C91-B321-9919B6BEB45C}"/>
            </a:ext>
          </a:extLst>
        </xdr:cNvPr>
        <xdr:cNvPicPr>
          <a:picLocks noChangeAspect="1" noChangeArrowheads="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bwMode="auto">
        <a:xfrm>
          <a:off x="3971926" y="3438525"/>
          <a:ext cx="3041220" cy="1981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50</xdr:row>
      <xdr:rowOff>95249</xdr:rowOff>
    </xdr:from>
    <xdr:to>
      <xdr:col>15</xdr:col>
      <xdr:colOff>14376</xdr:colOff>
      <xdr:row>60</xdr:row>
      <xdr:rowOff>170973</xdr:rowOff>
    </xdr:to>
    <xdr:pic>
      <xdr:nvPicPr>
        <xdr:cNvPr id="7" name="Billede 6">
          <a:extLst>
            <a:ext uri="{FF2B5EF4-FFF2-40B4-BE49-F238E27FC236}">
              <a16:creationId xmlns:a16="http://schemas.microsoft.com/office/drawing/2014/main" id="{B8246CEE-705E-444C-8DE5-0542AFE048E1}"/>
            </a:ext>
          </a:extLst>
        </xdr:cNvPr>
        <xdr:cNvPicPr>
          <a:picLocks noChangeAspect="1" noChangeArrowheads="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a:stretch/>
      </xdr:blipFill>
      <xdr:spPr bwMode="auto">
        <a:xfrm>
          <a:off x="3971925" y="9001124"/>
          <a:ext cx="3059201" cy="18854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47</xdr:row>
      <xdr:rowOff>0</xdr:rowOff>
    </xdr:from>
    <xdr:to>
      <xdr:col>7</xdr:col>
      <xdr:colOff>60286</xdr:colOff>
      <xdr:row>58</xdr:row>
      <xdr:rowOff>53975</xdr:rowOff>
    </xdr:to>
    <xdr:pic>
      <xdr:nvPicPr>
        <xdr:cNvPr id="9" name="Billede 8">
          <a:extLst>
            <a:ext uri="{FF2B5EF4-FFF2-40B4-BE49-F238E27FC236}">
              <a16:creationId xmlns:a16="http://schemas.microsoft.com/office/drawing/2014/main" id="{89C3DC80-0F0D-4580-98EA-5B1A4397D52B}"/>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349250" y="13716000"/>
          <a:ext cx="3076536" cy="2143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112059</xdr:colOff>
      <xdr:row>75</xdr:row>
      <xdr:rowOff>52296</xdr:rowOff>
    </xdr:from>
    <xdr:to>
      <xdr:col>15</xdr:col>
      <xdr:colOff>746</xdr:colOff>
      <xdr:row>85</xdr:row>
      <xdr:rowOff>129056</xdr:rowOff>
    </xdr:to>
    <xdr:pic>
      <xdr:nvPicPr>
        <xdr:cNvPr id="10" name="Billede 9" descr="Sauceless pizza on white board next to three other pizzas.">
          <a:extLst>
            <a:ext uri="{FF2B5EF4-FFF2-40B4-BE49-F238E27FC236}">
              <a16:creationId xmlns:a16="http://schemas.microsoft.com/office/drawing/2014/main" id="{0325A03D-DE60-4D91-8243-025A50755A84}"/>
            </a:ext>
          </a:extLst>
        </xdr:cNvPr>
        <xdr:cNvPicPr>
          <a:picLocks noChangeAspect="1" noChangeArrowheads="1"/>
        </xdr:cNvPicPr>
      </xdr:nvPicPr>
      <xdr:blipFill rotWithShape="1">
        <a:blip xmlns:r="http://schemas.openxmlformats.org/officeDocument/2006/relationships" r:embed="rId5" cstate="email">
          <a:extLst>
            <a:ext uri="{28A0092B-C50C-407E-A947-70E740481C1C}">
              <a14:useLocalDpi xmlns:a14="http://schemas.microsoft.com/office/drawing/2010/main"/>
            </a:ext>
          </a:extLst>
        </a:blip>
        <a:srcRect/>
        <a:stretch/>
      </xdr:blipFill>
      <xdr:spPr bwMode="auto">
        <a:xfrm>
          <a:off x="3951941" y="13887825"/>
          <a:ext cx="3070411" cy="19348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22413</xdr:colOff>
      <xdr:row>69</xdr:row>
      <xdr:rowOff>82176</xdr:rowOff>
    </xdr:from>
    <xdr:to>
      <xdr:col>7</xdr:col>
      <xdr:colOff>73586</xdr:colOff>
      <xdr:row>80</xdr:row>
      <xdr:rowOff>59175</xdr:rowOff>
    </xdr:to>
    <xdr:pic>
      <xdr:nvPicPr>
        <xdr:cNvPr id="11" name="Billede 10">
          <a:extLst>
            <a:ext uri="{FF2B5EF4-FFF2-40B4-BE49-F238E27FC236}">
              <a16:creationId xmlns:a16="http://schemas.microsoft.com/office/drawing/2014/main" id="{504BC44F-100B-45C4-955E-8DD1F9DBA3DD}"/>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a:off x="373531" y="17653000"/>
          <a:ext cx="3107764" cy="20314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14942</xdr:colOff>
      <xdr:row>96</xdr:row>
      <xdr:rowOff>82176</xdr:rowOff>
    </xdr:from>
    <xdr:to>
      <xdr:col>15</xdr:col>
      <xdr:colOff>33486</xdr:colOff>
      <xdr:row>108</xdr:row>
      <xdr:rowOff>22410</xdr:rowOff>
    </xdr:to>
    <xdr:pic>
      <xdr:nvPicPr>
        <xdr:cNvPr id="12" name="Billede 11" descr="Pizza al prosciutto e funghi - la ricetta spiegata passo a passo">
          <a:extLst>
            <a:ext uri="{FF2B5EF4-FFF2-40B4-BE49-F238E27FC236}">
              <a16:creationId xmlns:a16="http://schemas.microsoft.com/office/drawing/2014/main" id="{3E415C56-7409-4E80-A74C-552B5E036445}"/>
            </a:ext>
          </a:extLst>
        </xdr:cNvPr>
        <xdr:cNvPicPr>
          <a:picLocks noChangeAspect="1" noChangeArrowheads="1"/>
        </xdr:cNvPicPr>
      </xdr:nvPicPr>
      <xdr:blipFill rotWithShape="1">
        <a:blip xmlns:r="http://schemas.openxmlformats.org/officeDocument/2006/relationships" r:embed="rId7" cstate="email">
          <a:extLst>
            <a:ext uri="{28A0092B-C50C-407E-A947-70E740481C1C}">
              <a14:useLocalDpi xmlns:a14="http://schemas.microsoft.com/office/drawing/2010/main"/>
            </a:ext>
          </a:extLst>
        </a:blip>
        <a:srcRect/>
        <a:stretch/>
      </xdr:blipFill>
      <xdr:spPr bwMode="auto">
        <a:xfrm>
          <a:off x="3989295" y="17839764"/>
          <a:ext cx="3078310" cy="21814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7471</xdr:colOff>
      <xdr:row>94</xdr:row>
      <xdr:rowOff>74706</xdr:rowOff>
    </xdr:from>
    <xdr:to>
      <xdr:col>7</xdr:col>
      <xdr:colOff>14941</xdr:colOff>
      <xdr:row>105</xdr:row>
      <xdr:rowOff>91188</xdr:rowOff>
    </xdr:to>
    <xdr:pic>
      <xdr:nvPicPr>
        <xdr:cNvPr id="13" name="imi" descr="Pizza Prosciutto Crudo - Picture of Ristorante Italiano, Copenhagen -  Tripadvisor">
          <a:extLst>
            <a:ext uri="{FF2B5EF4-FFF2-40B4-BE49-F238E27FC236}">
              <a16:creationId xmlns:a16="http://schemas.microsoft.com/office/drawing/2014/main" id="{226B7F14-4704-4C9D-B10A-E1FC2265ADA3}"/>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a:off x="358589" y="22314647"/>
          <a:ext cx="3070411" cy="2068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22411</xdr:colOff>
      <xdr:row>114</xdr:row>
      <xdr:rowOff>52295</xdr:rowOff>
    </xdr:from>
    <xdr:to>
      <xdr:col>7</xdr:col>
      <xdr:colOff>14941</xdr:colOff>
      <xdr:row>123</xdr:row>
      <xdr:rowOff>110331</xdr:rowOff>
    </xdr:to>
    <xdr:pic>
      <xdr:nvPicPr>
        <xdr:cNvPr id="14" name="Billede 13" descr="Pizza Margherita">
          <a:extLst>
            <a:ext uri="{FF2B5EF4-FFF2-40B4-BE49-F238E27FC236}">
              <a16:creationId xmlns:a16="http://schemas.microsoft.com/office/drawing/2014/main" id="{E606E416-45DC-4EA8-9006-01C122941195}"/>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bwMode="auto">
        <a:xfrm>
          <a:off x="373529" y="20984883"/>
          <a:ext cx="3055471" cy="17389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19050</xdr:colOff>
      <xdr:row>121</xdr:row>
      <xdr:rowOff>120650</xdr:rowOff>
    </xdr:from>
    <xdr:to>
      <xdr:col>15</xdr:col>
      <xdr:colOff>55077</xdr:colOff>
      <xdr:row>131</xdr:row>
      <xdr:rowOff>15875</xdr:rowOff>
    </xdr:to>
    <xdr:pic>
      <xdr:nvPicPr>
        <xdr:cNvPr id="17" name="Billede 16" descr="Pizza Marinara photo">
          <a:extLst>
            <a:ext uri="{FF2B5EF4-FFF2-40B4-BE49-F238E27FC236}">
              <a16:creationId xmlns:a16="http://schemas.microsoft.com/office/drawing/2014/main" id="{CA89FD4F-B9F7-4AEF-ABDA-363E6025248D}"/>
            </a:ext>
          </a:extLst>
        </xdr:cNvPr>
        <xdr:cNvPicPr>
          <a:picLocks noChangeAspect="1" noChangeArrowheads="1"/>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bwMode="auto">
        <a:xfrm>
          <a:off x="3981450" y="22244050"/>
          <a:ext cx="3084027" cy="173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6350</xdr:colOff>
      <xdr:row>134</xdr:row>
      <xdr:rowOff>76200</xdr:rowOff>
    </xdr:from>
    <xdr:to>
      <xdr:col>7</xdr:col>
      <xdr:colOff>34925</xdr:colOff>
      <xdr:row>146</xdr:row>
      <xdr:rowOff>91017</xdr:rowOff>
    </xdr:to>
    <xdr:pic>
      <xdr:nvPicPr>
        <xdr:cNvPr id="18" name="Billede 17" descr="Pizza Diavola">
          <a:extLst>
            <a:ext uri="{FF2B5EF4-FFF2-40B4-BE49-F238E27FC236}">
              <a16:creationId xmlns:a16="http://schemas.microsoft.com/office/drawing/2014/main" id="{7895FD43-2416-48F9-9158-DC730B81B39D}"/>
            </a:ext>
          </a:extLst>
        </xdr:cNvPr>
        <xdr:cNvPicPr>
          <a:picLocks noChangeAspect="1" noChangeArrowheads="1"/>
        </xdr:cNvPicPr>
      </xdr:nvPicPr>
      <xdr:blipFill rotWithShape="1">
        <a:blip xmlns:r="http://schemas.openxmlformats.org/officeDocument/2006/relationships" r:embed="rId11" cstate="email">
          <a:extLst>
            <a:ext uri="{28A0092B-C50C-407E-A947-70E740481C1C}">
              <a14:useLocalDpi xmlns:a14="http://schemas.microsoft.com/office/drawing/2010/main"/>
            </a:ext>
          </a:extLst>
        </a:blip>
        <a:srcRect/>
        <a:stretch/>
      </xdr:blipFill>
      <xdr:spPr bwMode="auto">
        <a:xfrm>
          <a:off x="355600" y="24409400"/>
          <a:ext cx="3067050" cy="22150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120650</xdr:colOff>
      <xdr:row>148</xdr:row>
      <xdr:rowOff>63501</xdr:rowOff>
    </xdr:from>
    <xdr:to>
      <xdr:col>15</xdr:col>
      <xdr:colOff>3175</xdr:colOff>
      <xdr:row>161</xdr:row>
      <xdr:rowOff>57151</xdr:rowOff>
    </xdr:to>
    <xdr:pic>
      <xdr:nvPicPr>
        <xdr:cNvPr id="19" name="imi" descr="PIZZA CON STRACCHINO E SALAME PICCANTE">
          <a:extLst>
            <a:ext uri="{FF2B5EF4-FFF2-40B4-BE49-F238E27FC236}">
              <a16:creationId xmlns:a16="http://schemas.microsoft.com/office/drawing/2014/main" id="{1A52B385-96DE-4C0A-B87F-7C3556077A24}"/>
            </a:ext>
          </a:extLst>
        </xdr:cNvPr>
        <xdr:cNvPicPr>
          <a:picLocks noChangeAspect="1" noChangeArrowheads="1"/>
        </xdr:cNvPicPr>
      </xdr:nvPicPr>
      <xdr:blipFill rotWithShape="1">
        <a:blip xmlns:r="http://schemas.openxmlformats.org/officeDocument/2006/relationships" r:embed="rId12" cstate="email">
          <a:extLst>
            <a:ext uri="{28A0092B-C50C-407E-A947-70E740481C1C}">
              <a14:useLocalDpi xmlns:a14="http://schemas.microsoft.com/office/drawing/2010/main"/>
            </a:ext>
          </a:extLst>
        </a:blip>
        <a:srcRect/>
        <a:stretch/>
      </xdr:blipFill>
      <xdr:spPr bwMode="auto">
        <a:xfrm>
          <a:off x="3949700" y="27158951"/>
          <a:ext cx="3054350" cy="2387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torbenk@outlook.dk"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ggalmazor.github.io/bread_making/poolish_recipe_calculator.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facebook.com/groups/707961586747651/user/1496217625/"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shadergraphics.com/"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insidetherustickitchen.com/authentic-italian-tomato-sauce-quick-easy-delicious/" TargetMode="External"/><Relationship Id="rId1" Type="http://schemas.openxmlformats.org/officeDocument/2006/relationships/hyperlink" Target="https://www.christinascucina.com/best-pizza-sauce-recipe-no-cook-authentic-italian-style/"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www.tasteatlas.com/50-most-popular-pizzas-in-the-world?fbclid=IwAR2poSyMnClvTeDnLq4zVjcoSA3WRV4KtnDMbL4KgKcI30tPAz_xeMzOwL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3F7A9-7787-48EF-8443-A7C1BA8843EC}">
  <sheetPr>
    <tabColor rgb="FFFFFFCC"/>
    <pageSetUpPr fitToPage="1"/>
  </sheetPr>
  <dimension ref="A1:W74"/>
  <sheetViews>
    <sheetView showRowColHeaders="0" tabSelected="1" topLeftCell="A17" zoomScaleNormal="100" workbookViewId="0">
      <selection activeCell="E24" sqref="E24"/>
    </sheetView>
  </sheetViews>
  <sheetFormatPr baseColWidth="10" defaultColWidth="0" defaultRowHeight="0" customHeight="1" zeroHeight="1" x14ac:dyDescent="0.2"/>
  <cols>
    <col min="1" max="1" width="2.5" customWidth="1"/>
    <col min="2" max="2" width="3.33203125" customWidth="1"/>
    <col min="3" max="3" width="6.5" customWidth="1"/>
    <col min="4" max="4" width="20.83203125" customWidth="1"/>
    <col min="5" max="5" width="8" customWidth="1"/>
    <col min="6" max="6" width="2.6640625" customWidth="1"/>
    <col min="7" max="7" width="6.5" customWidth="1"/>
    <col min="8" max="8" width="22.5" customWidth="1"/>
    <col min="9" max="9" width="5.6640625" customWidth="1"/>
    <col min="10" max="10" width="2.6640625" customWidth="1"/>
    <col min="11" max="11" width="7.33203125" customWidth="1"/>
    <col min="12" max="12" width="23.1640625" customWidth="1"/>
    <col min="13" max="13" width="10.83203125" style="2" customWidth="1"/>
    <col min="14" max="14" width="3.33203125" customWidth="1"/>
    <col min="15" max="15" width="2.1640625" customWidth="1"/>
    <col min="16" max="16" width="17.6640625" style="151" hidden="1" customWidth="1"/>
    <col min="17" max="17" width="9.1640625" style="151" hidden="1" customWidth="1"/>
    <col min="18" max="18" width="17.1640625" style="393" hidden="1" customWidth="1"/>
    <col min="19" max="19" width="10.6640625" style="393" hidden="1" customWidth="1"/>
    <col min="20" max="22" width="9.1640625" style="151" hidden="1" customWidth="1"/>
    <col min="23" max="23" width="15.5" style="151" hidden="1" customWidth="1"/>
    <col min="24" max="16384" width="9.1640625" style="151" hidden="1"/>
  </cols>
  <sheetData>
    <row r="1" spans="1:19" ht="15" x14ac:dyDescent="0.2">
      <c r="L1" s="67"/>
      <c r="M1" s="209"/>
      <c r="N1" s="67"/>
      <c r="O1" s="67"/>
    </row>
    <row r="2" spans="1:19" ht="15" x14ac:dyDescent="0.2">
      <c r="L2" s="67"/>
      <c r="M2" s="209"/>
      <c r="N2" s="67"/>
      <c r="O2" s="67"/>
    </row>
    <row r="3" spans="1:19" ht="15" x14ac:dyDescent="0.2">
      <c r="L3" s="67"/>
      <c r="M3" s="209"/>
      <c r="N3" s="67"/>
      <c r="O3" s="67"/>
    </row>
    <row r="4" spans="1:19" ht="15" x14ac:dyDescent="0.2">
      <c r="L4" s="67"/>
      <c r="M4" s="209"/>
      <c r="N4" s="67"/>
      <c r="O4" s="67"/>
    </row>
    <row r="5" spans="1:19" ht="15" x14ac:dyDescent="0.2">
      <c r="L5" s="67"/>
      <c r="M5" s="209"/>
      <c r="N5" s="67"/>
      <c r="O5" s="67"/>
    </row>
    <row r="6" spans="1:19" ht="15" x14ac:dyDescent="0.2">
      <c r="L6" s="67"/>
      <c r="M6" s="209"/>
      <c r="N6" s="67"/>
      <c r="O6" s="67"/>
    </row>
    <row r="7" spans="1:19" ht="15" x14ac:dyDescent="0.2">
      <c r="L7" s="67"/>
      <c r="M7" s="209"/>
      <c r="N7" s="67"/>
      <c r="O7" s="67"/>
    </row>
    <row r="8" spans="1:19" ht="15" x14ac:dyDescent="0.2">
      <c r="A8" s="20"/>
      <c r="B8" s="20"/>
      <c r="C8" s="20"/>
      <c r="D8" s="20"/>
      <c r="E8" s="20"/>
      <c r="F8" s="20"/>
      <c r="G8" s="20"/>
      <c r="H8" s="20"/>
      <c r="I8" s="20"/>
      <c r="J8" s="20"/>
      <c r="K8" s="20"/>
      <c r="L8" s="20"/>
      <c r="M8" s="35"/>
      <c r="N8" s="20"/>
      <c r="O8" s="20"/>
    </row>
    <row r="9" spans="1:19" ht="17.5" customHeight="1" x14ac:dyDescent="0.2">
      <c r="A9" s="20"/>
      <c r="B9" s="212"/>
      <c r="C9" s="434" t="s">
        <v>385</v>
      </c>
      <c r="D9" s="434"/>
      <c r="E9" s="434"/>
      <c r="F9" s="434"/>
      <c r="G9" s="434"/>
      <c r="H9" s="434"/>
      <c r="I9" s="434"/>
      <c r="J9" s="434"/>
      <c r="K9" s="434"/>
      <c r="L9" s="434"/>
      <c r="M9" s="359"/>
      <c r="N9" s="360"/>
      <c r="O9" s="20"/>
    </row>
    <row r="10" spans="1:19" ht="17.5" customHeight="1" x14ac:dyDescent="0.2">
      <c r="A10" s="20"/>
      <c r="B10" s="12"/>
      <c r="C10" s="435"/>
      <c r="D10" s="435"/>
      <c r="E10" s="435"/>
      <c r="F10" s="435"/>
      <c r="G10" s="435"/>
      <c r="H10" s="435"/>
      <c r="I10" s="435"/>
      <c r="J10" s="435"/>
      <c r="K10" s="435"/>
      <c r="L10" s="435"/>
      <c r="M10" s="362"/>
      <c r="N10" s="363"/>
      <c r="O10" s="20"/>
    </row>
    <row r="11" spans="1:19" s="152" customFormat="1" ht="16" customHeight="1" x14ac:dyDescent="0.2">
      <c r="A11" s="41"/>
      <c r="B11" s="39"/>
      <c r="C11" s="89" t="s">
        <v>316</v>
      </c>
      <c r="D11" s="90"/>
      <c r="E11" s="308"/>
      <c r="F11" s="51"/>
      <c r="G11" s="436" t="s">
        <v>226</v>
      </c>
      <c r="H11" s="437"/>
      <c r="I11" s="91"/>
      <c r="J11" s="52"/>
      <c r="K11" s="436" t="s">
        <v>228</v>
      </c>
      <c r="L11" s="437"/>
      <c r="M11" s="91"/>
      <c r="N11" s="40"/>
      <c r="O11" s="41"/>
      <c r="R11" s="394"/>
      <c r="S11" s="394"/>
    </row>
    <row r="12" spans="1:19" ht="15" x14ac:dyDescent="0.2">
      <c r="A12" s="20"/>
      <c r="B12" s="12"/>
      <c r="C12" s="422" t="s">
        <v>226</v>
      </c>
      <c r="D12" s="423"/>
      <c r="E12" s="55">
        <f>G12/(G12+K12)</f>
        <v>0.19347319347319347</v>
      </c>
      <c r="F12" s="56"/>
      <c r="G12" s="57">
        <v>166</v>
      </c>
      <c r="H12" s="54" t="s">
        <v>14</v>
      </c>
      <c r="I12" s="55"/>
      <c r="J12" s="54"/>
      <c r="K12" s="57">
        <v>692</v>
      </c>
      <c r="L12" s="54" t="s">
        <v>14</v>
      </c>
      <c r="M12" s="55"/>
      <c r="N12" s="18"/>
      <c r="O12" s="20"/>
    </row>
    <row r="13" spans="1:19" ht="15" x14ac:dyDescent="0.2">
      <c r="A13" s="20"/>
      <c r="B13" s="12"/>
      <c r="C13" s="422" t="s">
        <v>228</v>
      </c>
      <c r="D13" s="423"/>
      <c r="E13" s="55">
        <f>K12/(G12+K12)</f>
        <v>0.80652680652680653</v>
      </c>
      <c r="F13" s="56"/>
      <c r="G13" s="57">
        <v>166</v>
      </c>
      <c r="H13" s="54" t="s">
        <v>377</v>
      </c>
      <c r="I13" s="147"/>
      <c r="J13" s="54"/>
      <c r="K13" s="148">
        <v>388</v>
      </c>
      <c r="L13" s="54" t="s">
        <v>254</v>
      </c>
      <c r="M13" s="147"/>
      <c r="N13" s="11"/>
      <c r="O13" s="20"/>
    </row>
    <row r="14" spans="1:19" ht="15" x14ac:dyDescent="0.2">
      <c r="A14" s="20"/>
      <c r="B14" s="12"/>
      <c r="C14" s="424" t="s">
        <v>376</v>
      </c>
      <c r="D14" s="425"/>
      <c r="E14" s="183">
        <f>(G13+K13)/(G12+K12)</f>
        <v>0.64568764568764569</v>
      </c>
      <c r="F14" s="56"/>
      <c r="G14" s="58">
        <f>I14*G12</f>
        <v>1.3280000000000001</v>
      </c>
      <c r="H14" s="54" t="s">
        <v>258</v>
      </c>
      <c r="I14" s="334">
        <v>8.0000000000000002E-3</v>
      </c>
      <c r="J14" s="54"/>
      <c r="K14" s="148">
        <f>(G12+K12)*M14</f>
        <v>22.308</v>
      </c>
      <c r="L14" s="54" t="s">
        <v>34</v>
      </c>
      <c r="M14" s="379">
        <v>2.5999999999999999E-2</v>
      </c>
      <c r="N14" s="11"/>
      <c r="O14" s="20"/>
    </row>
    <row r="15" spans="1:19" ht="15" x14ac:dyDescent="0.2">
      <c r="A15" s="20"/>
      <c r="B15" s="12"/>
      <c r="C15" s="426" t="s">
        <v>10</v>
      </c>
      <c r="D15" s="427"/>
      <c r="E15" s="307">
        <f>SUM(G12:G15)+SUM(K12:K14)</f>
        <v>1435.636</v>
      </c>
      <c r="F15" s="56"/>
      <c r="G15" s="60"/>
      <c r="H15" s="59"/>
      <c r="I15" s="149"/>
      <c r="J15" s="54"/>
      <c r="K15" s="377">
        <f>SUM(G12:G15)</f>
        <v>333.32799999999997</v>
      </c>
      <c r="L15" s="59" t="s">
        <v>227</v>
      </c>
      <c r="M15" s="61"/>
      <c r="N15" s="11"/>
      <c r="O15" s="20"/>
    </row>
    <row r="16" spans="1:19" ht="6" customHeight="1" x14ac:dyDescent="0.2">
      <c r="A16" s="20"/>
      <c r="B16" s="12"/>
      <c r="C16" s="370"/>
      <c r="D16" s="143"/>
      <c r="E16" s="371"/>
      <c r="F16" s="56"/>
      <c r="G16" s="372"/>
      <c r="H16" s="54"/>
      <c r="I16" s="373"/>
      <c r="J16" s="54"/>
      <c r="K16" s="374"/>
      <c r="L16" s="54"/>
      <c r="M16" s="375"/>
      <c r="N16" s="11"/>
      <c r="O16" s="20"/>
    </row>
    <row r="17" spans="1:19" ht="6" customHeight="1" x14ac:dyDescent="0.2">
      <c r="A17" s="20"/>
      <c r="B17" s="3"/>
      <c r="C17" s="4"/>
      <c r="D17" s="154"/>
      <c r="E17" s="150"/>
      <c r="F17" s="5"/>
      <c r="G17" s="6"/>
      <c r="H17" s="6"/>
      <c r="I17" s="7"/>
      <c r="J17" s="4"/>
      <c r="K17" s="4"/>
      <c r="L17" s="4"/>
      <c r="M17" s="8"/>
      <c r="N17" s="9"/>
      <c r="O17" s="20"/>
    </row>
    <row r="18" spans="1:19" ht="15" customHeight="1" x14ac:dyDescent="0.2">
      <c r="A18" s="20"/>
      <c r="B18" s="20"/>
      <c r="C18" s="20"/>
      <c r="D18" s="214"/>
      <c r="E18" s="20"/>
      <c r="F18" s="20"/>
      <c r="G18" s="20"/>
      <c r="H18" s="156"/>
      <c r="I18" s="20"/>
      <c r="J18" s="20"/>
      <c r="K18" s="20"/>
      <c r="L18" s="20"/>
      <c r="M18" s="21"/>
      <c r="N18" s="20"/>
      <c r="O18" s="20"/>
    </row>
    <row r="19" spans="1:19" s="152" customFormat="1" ht="16" customHeight="1" x14ac:dyDescent="0.2">
      <c r="A19" s="41"/>
      <c r="B19" s="13"/>
      <c r="C19" s="140"/>
      <c r="D19" s="140"/>
      <c r="E19" s="14"/>
      <c r="F19" s="14"/>
      <c r="G19" s="14"/>
      <c r="H19" s="14"/>
      <c r="I19" s="14"/>
      <c r="J19" s="14"/>
      <c r="K19" s="14"/>
      <c r="L19" s="14"/>
      <c r="M19" s="15"/>
      <c r="N19" s="16"/>
      <c r="O19" s="41"/>
    </row>
    <row r="20" spans="1:19" ht="15" x14ac:dyDescent="0.2">
      <c r="A20" s="20"/>
      <c r="B20" s="42"/>
      <c r="C20" s="78" t="s">
        <v>31</v>
      </c>
      <c r="D20" s="79"/>
      <c r="E20" s="80"/>
      <c r="F20" s="43"/>
      <c r="G20" s="78" t="s">
        <v>226</v>
      </c>
      <c r="H20" s="81"/>
      <c r="I20" s="82">
        <f>G21/(G21+K21)</f>
        <v>0.1934731934731935</v>
      </c>
      <c r="J20" s="63"/>
      <c r="K20" s="78" t="s">
        <v>228</v>
      </c>
      <c r="L20" s="79"/>
      <c r="M20" s="378">
        <f>K21/(G21+K21)</f>
        <v>0.80652680652680664</v>
      </c>
      <c r="N20" s="23"/>
      <c r="O20" s="20"/>
    </row>
    <row r="21" spans="1:19" ht="15" x14ac:dyDescent="0.2">
      <c r="A21" s="20"/>
      <c r="B21" s="22"/>
      <c r="C21" s="417" t="s">
        <v>8</v>
      </c>
      <c r="D21" s="129"/>
      <c r="E21" s="251">
        <v>8</v>
      </c>
      <c r="F21" s="27"/>
      <c r="G21" s="34">
        <f>G12*(E21*E22/E15)</f>
        <v>212.75587962408301</v>
      </c>
      <c r="H21" s="10" t="s">
        <v>14</v>
      </c>
      <c r="I21" s="29"/>
      <c r="J21" s="10"/>
      <c r="K21" s="161">
        <f>IF(E26&lt;&gt;"",K12*(E21*E22/E15)-E26*(K12*(E21*E22/E15)),K12*(E21*E22/E15))</f>
        <v>886.91005240882794</v>
      </c>
      <c r="L21" s="10" t="s">
        <v>14</v>
      </c>
      <c r="M21" s="32"/>
      <c r="N21" s="11"/>
      <c r="O21" s="20"/>
    </row>
    <row r="22" spans="1:19" ht="15" x14ac:dyDescent="0.2">
      <c r="A22" s="20"/>
      <c r="B22" s="22"/>
      <c r="C22" s="418" t="str">
        <f>IF(E24&lt;&gt;0.645,"Dej pr. pizza (ny vægt "&amp;ROUND(E23/E21,0)&amp;" g)","Dej pr. pizza")</f>
        <v>Dej pr. pizza</v>
      </c>
      <c r="D22" s="33"/>
      <c r="E22" s="252">
        <v>230</v>
      </c>
      <c r="F22" s="10"/>
      <c r="G22" s="34">
        <f>G13*(E21*E22/E15)</f>
        <v>212.75587962408301</v>
      </c>
      <c r="H22" s="10" t="s">
        <v>300</v>
      </c>
      <c r="I22" s="29"/>
      <c r="J22" s="10"/>
      <c r="K22" s="162">
        <f>E24*(G21+K21+IF(K25="",0,K25))-G22</f>
        <v>496.52864653714448</v>
      </c>
      <c r="L22" s="10" t="s">
        <v>300</v>
      </c>
      <c r="M22" s="32"/>
      <c r="N22" s="11"/>
      <c r="O22" s="20"/>
    </row>
    <row r="23" spans="1:19" ht="15" x14ac:dyDescent="0.2">
      <c r="A23" s="20"/>
      <c r="B23" s="22"/>
      <c r="C23" s="419" t="s">
        <v>10</v>
      </c>
      <c r="D23" s="33"/>
      <c r="E23" s="155">
        <f>SUM(K21:K25)</f>
        <v>1839.4386989459724</v>
      </c>
      <c r="F23" s="27"/>
      <c r="G23" s="157">
        <f>G14*(E21*E22/E15)</f>
        <v>1.7020470369926641</v>
      </c>
      <c r="H23" s="10" t="s">
        <v>258</v>
      </c>
      <c r="I23" s="30"/>
      <c r="J23" s="159"/>
      <c r="K23" s="161">
        <f>ROUND((G21+K21)*E25,0)</f>
        <v>29</v>
      </c>
      <c r="L23" s="10" t="s">
        <v>34</v>
      </c>
      <c r="M23" s="160"/>
      <c r="N23" s="11"/>
      <c r="O23" s="20"/>
    </row>
    <row r="24" spans="1:19" ht="15" x14ac:dyDescent="0.2">
      <c r="A24" s="20"/>
      <c r="B24" s="22"/>
      <c r="C24" s="419" t="str">
        <f>IF(E24&lt;&gt;0.645,"Hydration (OBS på dej-vægt)","Hydrering")</f>
        <v>Hydrering</v>
      </c>
      <c r="D24" s="33"/>
      <c r="E24" s="253">
        <v>0.64500000000000002</v>
      </c>
      <c r="F24" s="27"/>
      <c r="G24" s="157"/>
      <c r="H24" s="10"/>
      <c r="I24" s="30"/>
      <c r="J24" s="159"/>
      <c r="K24" s="161">
        <f>ROUND(SUM(G21:G25),0)</f>
        <v>427</v>
      </c>
      <c r="L24" s="10" t="s">
        <v>227</v>
      </c>
      <c r="M24" s="160"/>
      <c r="N24" s="11"/>
      <c r="O24" s="20"/>
    </row>
    <row r="25" spans="1:19" ht="15" x14ac:dyDescent="0.2">
      <c r="A25" s="20"/>
      <c r="B25" s="22"/>
      <c r="C25" s="419" t="s">
        <v>265</v>
      </c>
      <c r="D25" s="33"/>
      <c r="E25" s="254">
        <v>2.5999999999999999E-2</v>
      </c>
      <c r="F25" s="27"/>
      <c r="G25" s="186"/>
      <c r="H25" s="50"/>
      <c r="I25" s="187"/>
      <c r="J25" s="159"/>
      <c r="K25" s="184" t="str">
        <f>IF(AND(E26&gt;0,E26&lt;&gt;""),E26*(K12*(E21*E22/E15)),"")</f>
        <v/>
      </c>
      <c r="L25" s="142" t="str">
        <f>IF(AND(E26&gt;0,E26&lt;&gt;""),"g tørret surdej","")</f>
        <v/>
      </c>
      <c r="M25" s="185"/>
      <c r="N25" s="11"/>
      <c r="O25" s="20"/>
    </row>
    <row r="26" spans="1:19" ht="15" x14ac:dyDescent="0.2">
      <c r="A26" s="20"/>
      <c r="B26" s="22"/>
      <c r="C26" s="420" t="s">
        <v>410</v>
      </c>
      <c r="D26" s="421"/>
      <c r="E26" s="380">
        <v>0</v>
      </c>
      <c r="F26" s="27"/>
      <c r="G26" s="233">
        <f>SUM(G21:G25)</f>
        <v>427.21380628515868</v>
      </c>
      <c r="H26" s="6" t="s">
        <v>225</v>
      </c>
      <c r="I26" s="31"/>
      <c r="J26" s="10"/>
      <c r="K26" s="62">
        <f>SUM(K21:K25)</f>
        <v>1839.4386989459724</v>
      </c>
      <c r="L26" s="6" t="s">
        <v>236</v>
      </c>
      <c r="M26" s="26"/>
      <c r="N26" s="11"/>
      <c r="O26" s="20"/>
    </row>
    <row r="27" spans="1:19" ht="15" x14ac:dyDescent="0.2">
      <c r="A27" s="20"/>
      <c r="B27" s="22"/>
      <c r="C27" s="347"/>
      <c r="D27" s="405"/>
      <c r="E27" s="406"/>
      <c r="F27" s="400"/>
      <c r="G27" s="407"/>
      <c r="H27" s="408"/>
      <c r="I27" s="409"/>
      <c r="J27" s="402"/>
      <c r="K27" s="452" t="str">
        <f ca="1">IF(F28="","",IF((F28-NOW())*24&lt;0,"Hold hold hold. Du lever i fortiden...       Tjek lige dato og tid...",IF((F28-NOW())*24&lt;43,"Hold hold hold! Det er alt for lidt tid til denne opskrift. Du skal bruge et par dage.","Fedt!   Vi skal have pizza om "&amp;_xlfn.DAYS(F28,TODAY())&amp;" dage!            Og tak fordi du bruger denne fil :-)")))</f>
        <v/>
      </c>
      <c r="L27" s="452"/>
      <c r="M27" s="452"/>
      <c r="N27" s="11"/>
      <c r="O27" s="20"/>
    </row>
    <row r="28" spans="1:19" ht="15" x14ac:dyDescent="0.2">
      <c r="A28" s="20"/>
      <c r="B28" s="403"/>
      <c r="C28" s="428" t="s">
        <v>407</v>
      </c>
      <c r="D28" s="401"/>
      <c r="E28" s="401"/>
      <c r="F28" s="441"/>
      <c r="G28" s="442"/>
      <c r="H28" s="443"/>
      <c r="J28" s="410"/>
      <c r="K28" s="453"/>
      <c r="L28" s="453"/>
      <c r="M28" s="453"/>
      <c r="N28" s="404"/>
      <c r="O28" s="20"/>
    </row>
    <row r="29" spans="1:19" ht="15" x14ac:dyDescent="0.2">
      <c r="A29" s="20"/>
      <c r="B29" s="238"/>
      <c r="C29" s="429" t="s">
        <v>409</v>
      </c>
      <c r="D29" s="240"/>
      <c r="E29" s="240"/>
      <c r="F29" s="444" t="s">
        <v>399</v>
      </c>
      <c r="G29" s="444"/>
      <c r="H29" s="444"/>
      <c r="I29" s="200"/>
      <c r="J29" s="200"/>
      <c r="K29" s="454"/>
      <c r="L29" s="454"/>
      <c r="M29" s="454"/>
      <c r="N29" s="201"/>
      <c r="O29" s="20"/>
      <c r="R29" s="431"/>
    </row>
    <row r="30" spans="1:19" ht="15" x14ac:dyDescent="0.2">
      <c r="A30" s="20"/>
      <c r="B30" s="37"/>
      <c r="C30" s="38"/>
      <c r="D30" s="38"/>
      <c r="E30" s="37"/>
      <c r="F30" s="37"/>
      <c r="G30" s="37"/>
      <c r="H30" s="20"/>
      <c r="I30" s="20"/>
      <c r="J30" s="20"/>
      <c r="K30" s="20"/>
      <c r="L30" s="20"/>
      <c r="M30" s="21"/>
      <c r="N30" s="20"/>
      <c r="O30" s="20"/>
    </row>
    <row r="31" spans="1:19" ht="15" customHeight="1" x14ac:dyDescent="0.2">
      <c r="A31" s="20"/>
      <c r="B31" s="447" t="s">
        <v>400</v>
      </c>
      <c r="C31" s="448"/>
      <c r="D31" s="448"/>
      <c r="E31" s="44"/>
      <c r="F31" s="44"/>
      <c r="G31" s="44"/>
      <c r="H31" s="14"/>
      <c r="I31" s="14"/>
      <c r="J31" s="14"/>
      <c r="K31" s="14"/>
      <c r="L31" s="14"/>
      <c r="M31" s="15"/>
      <c r="N31" s="16"/>
      <c r="O31" s="20"/>
      <c r="R31" s="433">
        <f ca="1">(F28-NOW())*24</f>
        <v>-1075793.4793972222</v>
      </c>
      <c r="S31" s="395"/>
    </row>
    <row r="32" spans="1:19" ht="15" customHeight="1" x14ac:dyDescent="0.2">
      <c r="A32" s="20"/>
      <c r="B32" s="449"/>
      <c r="C32" s="450"/>
      <c r="D32" s="450"/>
      <c r="E32" s="456"/>
      <c r="F32" s="456"/>
      <c r="G32" s="456"/>
      <c r="H32" s="17"/>
      <c r="I32" s="10"/>
      <c r="J32" s="10"/>
      <c r="K32" s="384"/>
      <c r="L32" s="10"/>
      <c r="M32" s="17"/>
      <c r="N32" s="11"/>
      <c r="O32" s="20"/>
      <c r="P32" s="304"/>
      <c r="Q32" s="392"/>
      <c r="R32" s="432"/>
      <c r="S32" s="396"/>
    </row>
    <row r="33" spans="1:23" ht="15" x14ac:dyDescent="0.2">
      <c r="A33" s="20"/>
      <c r="B33" s="445" t="str">
        <f>IF(F28="","Dag 1","Poolish")</f>
        <v>Dag 1</v>
      </c>
      <c r="C33" s="446"/>
      <c r="D33" s="430" t="str">
        <f>IF(F28="","Poolish",D40-25/24)</f>
        <v>Poolish</v>
      </c>
      <c r="E33" s="455" t="str">
        <f>IF(F28="","","Start mellem ca. kl.")</f>
        <v/>
      </c>
      <c r="F33" s="455"/>
      <c r="G33" s="455"/>
      <c r="H33" s="411" t="str">
        <f>IF(F28="","",TEXT(D33-2.5/24,"tt:mm")&amp;"-"&amp;TEXT(D33-1.5/24,"tt:mm"))</f>
        <v/>
      </c>
      <c r="I33" s="411"/>
      <c r="J33" s="412"/>
      <c r="K33" s="4"/>
      <c r="L33" s="4"/>
      <c r="M33" s="8"/>
      <c r="N33" s="11"/>
      <c r="O33" s="20"/>
      <c r="P33" s="304"/>
      <c r="R33" s="151"/>
      <c r="S33" s="396"/>
    </row>
    <row r="34" spans="1:23" ht="5" customHeight="1" x14ac:dyDescent="0.2">
      <c r="A34" s="20"/>
      <c r="B34" s="12"/>
      <c r="C34" s="10"/>
      <c r="D34" s="10"/>
      <c r="E34" s="10"/>
      <c r="F34" s="10"/>
      <c r="G34" s="10"/>
      <c r="H34" s="10"/>
      <c r="I34" s="10">
        <v>4</v>
      </c>
      <c r="J34" s="10"/>
      <c r="K34" s="10"/>
      <c r="L34" s="10"/>
      <c r="M34" s="17"/>
      <c r="N34" s="11"/>
      <c r="O34" s="20"/>
      <c r="P34" s="304"/>
      <c r="S34" s="398"/>
    </row>
    <row r="35" spans="1:23" ht="15" x14ac:dyDescent="0.2">
      <c r="A35" s="20"/>
      <c r="B35" s="12"/>
      <c r="C35" s="115">
        <v>1</v>
      </c>
      <c r="D35" s="207" t="s">
        <v>378</v>
      </c>
      <c r="E35" s="10"/>
      <c r="F35" s="10"/>
      <c r="G35" s="10"/>
      <c r="H35" s="10"/>
      <c r="I35" s="1"/>
      <c r="J35" s="10"/>
      <c r="K35" s="10"/>
      <c r="L35" s="83" t="str">
        <f>ROUND(G22,0)&amp;" ml vand, "&amp;ROUND(G23,1)&amp;" g. gær."</f>
        <v>213 ml vand, 1,7 g. gær.</v>
      </c>
      <c r="M35" s="84"/>
      <c r="N35" s="11"/>
      <c r="O35" s="20"/>
      <c r="P35" s="304"/>
      <c r="S35" s="398"/>
    </row>
    <row r="36" spans="1:23" ht="15" x14ac:dyDescent="0.2">
      <c r="A36" s="20"/>
      <c r="B36" s="12"/>
      <c r="C36" s="115">
        <v>2</v>
      </c>
      <c r="D36" s="10" t="s">
        <v>397</v>
      </c>
      <c r="E36" s="10"/>
      <c r="F36" s="10"/>
      <c r="G36" s="10"/>
      <c r="H36" s="10"/>
      <c r="I36" s="10"/>
      <c r="J36" s="10"/>
      <c r="K36" s="10"/>
      <c r="L36" s="87" t="str">
        <f>ROUND(G21,0)&amp;" g. mel."</f>
        <v>213 g. mel.</v>
      </c>
      <c r="M36" s="88"/>
      <c r="N36" s="11"/>
      <c r="O36" s="20"/>
      <c r="P36" s="304"/>
      <c r="S36" s="398"/>
    </row>
    <row r="37" spans="1:23" ht="15" x14ac:dyDescent="0.2">
      <c r="A37" s="20"/>
      <c r="B37" s="12"/>
      <c r="C37" s="115">
        <v>3</v>
      </c>
      <c r="D37" s="27" t="s">
        <v>404</v>
      </c>
      <c r="E37" s="10"/>
      <c r="F37" s="10"/>
      <c r="G37" s="10"/>
      <c r="H37" s="10"/>
      <c r="I37" s="10"/>
      <c r="J37" s="10"/>
      <c r="K37" s="10"/>
      <c r="L37" s="381"/>
      <c r="M37" s="17"/>
      <c r="N37" s="11"/>
      <c r="O37" s="20"/>
      <c r="P37" s="304"/>
      <c r="R37" s="398"/>
      <c r="S37" s="398"/>
    </row>
    <row r="38" spans="1:23" ht="15" x14ac:dyDescent="0.2">
      <c r="A38" s="20"/>
      <c r="B38" s="12"/>
      <c r="C38" s="115">
        <v>4</v>
      </c>
      <c r="D38" s="27" t="s">
        <v>405</v>
      </c>
      <c r="E38" s="10"/>
      <c r="F38" s="10"/>
      <c r="G38" s="10"/>
      <c r="H38" s="10"/>
      <c r="I38" s="10"/>
      <c r="J38" s="10"/>
      <c r="K38" s="10"/>
      <c r="L38" s="198" t="s">
        <v>401</v>
      </c>
      <c r="M38" s="192"/>
      <c r="N38" s="11"/>
      <c r="O38" s="20"/>
      <c r="P38" s="304"/>
      <c r="R38" s="398"/>
      <c r="S38" s="398"/>
    </row>
    <row r="39" spans="1:23" ht="15" x14ac:dyDescent="0.2">
      <c r="A39" s="20"/>
      <c r="B39" s="12"/>
      <c r="C39" s="115"/>
      <c r="D39" s="10"/>
      <c r="E39" s="10"/>
      <c r="F39" s="10"/>
      <c r="G39" s="10"/>
      <c r="H39" s="414"/>
      <c r="I39" s="10"/>
      <c r="J39" s="10"/>
      <c r="K39" s="10"/>
      <c r="L39" s="199" t="s">
        <v>256</v>
      </c>
      <c r="M39" s="193"/>
      <c r="N39" s="11"/>
      <c r="O39" s="20"/>
      <c r="P39" s="415"/>
      <c r="S39" s="398"/>
    </row>
    <row r="40" spans="1:23" ht="15" x14ac:dyDescent="0.2">
      <c r="A40" s="20"/>
      <c r="B40" s="445" t="str">
        <f>IF(F28="","Dag 2","Hoveddej")</f>
        <v>Dag 2</v>
      </c>
      <c r="C40" s="446"/>
      <c r="D40" s="430" t="str">
        <f>IF(F28="","Hoveddej",D57-22.5/24)</f>
        <v>Hoveddej</v>
      </c>
      <c r="E40" s="455" t="str">
        <f>IF(F28="","","Start mellem ca. kl.")</f>
        <v/>
      </c>
      <c r="F40" s="455"/>
      <c r="G40" s="455"/>
      <c r="H40" s="411" t="str">
        <f>IF(F28="","",TEXT(D57-27.25/24,"tt:mm")&amp;"-"&amp;TEXT(D57-25.25/24,"tt:mm"))</f>
        <v/>
      </c>
      <c r="I40" s="411"/>
      <c r="J40" s="412"/>
      <c r="K40" s="4"/>
      <c r="L40" s="4"/>
      <c r="M40" s="8"/>
      <c r="N40" s="11"/>
      <c r="O40" s="20"/>
      <c r="P40" s="415"/>
      <c r="R40" s="398"/>
      <c r="S40" s="398"/>
    </row>
    <row r="41" spans="1:23" ht="7.5" customHeight="1" x14ac:dyDescent="0.2">
      <c r="A41" s="20"/>
      <c r="B41" s="12"/>
      <c r="C41" s="33"/>
      <c r="D41" s="33"/>
      <c r="E41" s="33"/>
      <c r="F41" s="33"/>
      <c r="G41" s="10"/>
      <c r="H41" s="10"/>
      <c r="I41" s="10"/>
      <c r="J41" s="10"/>
      <c r="K41" s="10"/>
      <c r="L41" s="10"/>
      <c r="M41" s="210"/>
      <c r="N41" s="11"/>
      <c r="O41" s="20"/>
      <c r="S41" s="398"/>
    </row>
    <row r="42" spans="1:23" ht="15" x14ac:dyDescent="0.2">
      <c r="A42" s="20"/>
      <c r="B42" s="12"/>
      <c r="C42" s="115">
        <v>6</v>
      </c>
      <c r="D42" s="27" t="s">
        <v>403</v>
      </c>
      <c r="E42" s="33"/>
      <c r="F42" s="33"/>
      <c r="G42" s="10"/>
      <c r="H42" s="10"/>
      <c r="I42" s="10"/>
      <c r="J42" s="10"/>
      <c r="K42" s="10"/>
      <c r="L42" s="10"/>
      <c r="M42" s="17"/>
      <c r="N42" s="11"/>
      <c r="O42" s="20"/>
      <c r="P42" s="304"/>
      <c r="S42" s="398"/>
      <c r="W42" s="399"/>
    </row>
    <row r="43" spans="1:23" ht="15" x14ac:dyDescent="0.2">
      <c r="A43" s="20"/>
      <c r="B43" s="12"/>
      <c r="C43" s="115">
        <v>7</v>
      </c>
      <c r="D43" s="10" t="str">
        <f>IF(AND(E26&gt;0,E26&lt;&gt;""),"Poolish'en røres ud i vandet, hvorefter mel og tørret surdej tilsættes og blandes.","Poolish'en røres ud i vandet, hvorefter mel tilsættes og blandes.")</f>
        <v>Poolish'en røres ud i vandet, hvorefter mel tilsættes og blandes.</v>
      </c>
      <c r="E43" s="10"/>
      <c r="F43" s="10"/>
      <c r="G43" s="10"/>
      <c r="H43" s="10"/>
      <c r="I43" s="10"/>
      <c r="J43" s="10"/>
      <c r="K43" s="10"/>
      <c r="L43" s="439" t="str">
        <f>ROUND(K22,0)&amp;" ml. vand, poolish, "&amp;ROUND(K21,0)&amp;" g. mel"</f>
        <v>497 ml. vand, poolish, 887 g. mel</v>
      </c>
      <c r="M43" s="440"/>
      <c r="N43" s="11"/>
      <c r="O43" s="20"/>
      <c r="P43" s="304"/>
      <c r="S43" s="398"/>
    </row>
    <row r="44" spans="1:23" ht="15" x14ac:dyDescent="0.2">
      <c r="A44" s="20"/>
      <c r="B44" s="12"/>
      <c r="C44" s="115">
        <v>8</v>
      </c>
      <c r="D44" s="10" t="s">
        <v>379</v>
      </c>
      <c r="E44" s="10"/>
      <c r="F44" s="10"/>
      <c r="G44" s="10"/>
      <c r="H44" s="10"/>
      <c r="I44" s="10"/>
      <c r="J44" s="10"/>
      <c r="K44" s="10"/>
      <c r="L44" s="438" t="str">
        <f>IF(AND(E26&gt;0,E26&lt;&gt;""),"samt "&amp;ROUND(K25,0)&amp;" g. tørret surdej","")</f>
        <v/>
      </c>
      <c r="M44" s="438"/>
      <c r="N44" s="11"/>
      <c r="O44" s="20"/>
      <c r="P44" s="304"/>
      <c r="S44" s="398"/>
    </row>
    <row r="45" spans="1:23" ht="6" hidden="1" customHeight="1" x14ac:dyDescent="0.2">
      <c r="A45" s="20"/>
      <c r="B45" s="12"/>
      <c r="C45" s="115"/>
      <c r="D45" s="10"/>
      <c r="E45" s="10"/>
      <c r="F45" s="10"/>
      <c r="G45" s="10"/>
      <c r="H45" s="10"/>
      <c r="I45" s="10"/>
      <c r="J45" s="10"/>
      <c r="K45" s="10"/>
      <c r="L45" s="48"/>
      <c r="M45" s="17"/>
      <c r="N45" s="11"/>
      <c r="O45" s="20"/>
      <c r="P45" s="304"/>
      <c r="S45" s="398"/>
    </row>
    <row r="46" spans="1:23" ht="15" x14ac:dyDescent="0.2">
      <c r="A46" s="20"/>
      <c r="B46" s="12"/>
      <c r="C46" s="115">
        <v>9</v>
      </c>
      <c r="D46" s="10" t="s">
        <v>380</v>
      </c>
      <c r="E46" s="10"/>
      <c r="F46" s="10"/>
      <c r="G46" s="10"/>
      <c r="H46" s="10"/>
      <c r="I46" s="10"/>
      <c r="J46" s="10"/>
      <c r="K46" s="10"/>
      <c r="L46" s="10"/>
      <c r="M46" s="17"/>
      <c r="N46" s="11"/>
      <c r="O46" s="20"/>
      <c r="P46" s="304"/>
      <c r="S46" s="398"/>
    </row>
    <row r="47" spans="1:23" ht="15" x14ac:dyDescent="0.2">
      <c r="A47" s="20"/>
      <c r="B47" s="12"/>
      <c r="C47" s="333">
        <v>10</v>
      </c>
      <c r="D47" s="10" t="s">
        <v>394</v>
      </c>
      <c r="E47" s="10"/>
      <c r="F47" s="10"/>
      <c r="G47" s="10"/>
      <c r="H47" s="10"/>
      <c r="I47" s="10"/>
      <c r="J47" s="10"/>
      <c r="K47" s="10"/>
      <c r="L47" s="382" t="str">
        <f>ROUND(K23,0)&amp;" g. salt"</f>
        <v>29 g. salt</v>
      </c>
      <c r="M47" s="383"/>
      <c r="N47" s="11"/>
      <c r="O47" s="20"/>
      <c r="P47" s="304"/>
      <c r="S47" s="398"/>
    </row>
    <row r="48" spans="1:23" ht="6" hidden="1" customHeight="1" x14ac:dyDescent="0.2">
      <c r="A48" s="20"/>
      <c r="B48" s="12"/>
      <c r="C48" s="27"/>
      <c r="D48" s="10"/>
      <c r="E48" s="10"/>
      <c r="F48" s="10"/>
      <c r="G48" s="10"/>
      <c r="H48" s="10"/>
      <c r="I48" s="10"/>
      <c r="J48" s="10"/>
      <c r="K48" s="10"/>
      <c r="L48" s="46"/>
      <c r="M48" s="17"/>
      <c r="N48" s="11"/>
      <c r="O48" s="20"/>
      <c r="P48" s="304"/>
      <c r="S48" s="398"/>
    </row>
    <row r="49" spans="1:19" ht="15" x14ac:dyDescent="0.2">
      <c r="A49" s="20"/>
      <c r="B49" s="12"/>
      <c r="C49" s="333">
        <v>11</v>
      </c>
      <c r="D49" s="10" t="s">
        <v>381</v>
      </c>
      <c r="E49" s="319"/>
      <c r="F49" s="319"/>
      <c r="G49" s="319"/>
      <c r="H49" s="319"/>
      <c r="I49" s="318"/>
      <c r="J49" s="318"/>
      <c r="K49" s="10"/>
      <c r="L49" s="10"/>
      <c r="M49" s="17"/>
      <c r="N49" s="11"/>
      <c r="O49" s="20"/>
      <c r="P49" s="304"/>
      <c r="S49" s="398"/>
    </row>
    <row r="50" spans="1:19" ht="6" hidden="1" customHeight="1" x14ac:dyDescent="0.2">
      <c r="A50" s="20"/>
      <c r="B50" s="12"/>
      <c r="C50" s="27"/>
      <c r="D50" s="10"/>
      <c r="E50" s="10"/>
      <c r="F50" s="10"/>
      <c r="G50" s="10"/>
      <c r="H50" s="10"/>
      <c r="I50" s="10"/>
      <c r="J50" s="10"/>
      <c r="K50" s="10"/>
      <c r="L50" s="10"/>
      <c r="M50" s="17"/>
      <c r="N50" s="11"/>
      <c r="O50" s="20"/>
      <c r="P50" s="304"/>
      <c r="S50" s="398"/>
    </row>
    <row r="51" spans="1:19" ht="15" x14ac:dyDescent="0.2">
      <c r="A51" s="20"/>
      <c r="B51" s="12"/>
      <c r="C51" s="115"/>
      <c r="D51" s="10" t="s">
        <v>402</v>
      </c>
      <c r="E51" s="10"/>
      <c r="F51" s="10"/>
      <c r="G51" s="10"/>
      <c r="H51" s="10"/>
      <c r="I51" s="10"/>
      <c r="J51" s="10"/>
      <c r="K51" s="10"/>
      <c r="L51" s="10"/>
      <c r="M51" s="17"/>
      <c r="N51" s="11"/>
      <c r="O51" s="20"/>
      <c r="P51" s="304"/>
      <c r="S51" s="398"/>
    </row>
    <row r="52" spans="1:19" ht="15" x14ac:dyDescent="0.2">
      <c r="A52" s="20"/>
      <c r="B52" s="12"/>
      <c r="C52" s="333">
        <v>11</v>
      </c>
      <c r="D52" s="27" t="str">
        <f>"Vend dejen ud på et let melet bord, og "&amp;"del den i "&amp;$E$21&amp;" lige store klumper."</f>
        <v>Vend dejen ud på et let melet bord, og del den i 8 lige store klumper.</v>
      </c>
      <c r="E52" s="10"/>
      <c r="F52" s="10"/>
      <c r="G52" s="10"/>
      <c r="H52" s="10"/>
      <c r="I52" s="10"/>
      <c r="J52" s="10"/>
      <c r="K52" s="10"/>
      <c r="L52" s="10"/>
      <c r="M52" s="17"/>
      <c r="N52" s="11"/>
      <c r="O52" s="20"/>
      <c r="P52" s="304"/>
      <c r="S52" s="398"/>
    </row>
    <row r="53" spans="1:19" ht="15" x14ac:dyDescent="0.2">
      <c r="A53" s="20"/>
      <c r="B53" s="12"/>
      <c r="C53" s="333">
        <v>12</v>
      </c>
      <c r="D53" s="10" t="s">
        <v>382</v>
      </c>
      <c r="E53" s="10"/>
      <c r="F53" s="10"/>
      <c r="G53" s="10"/>
      <c r="H53" s="10"/>
      <c r="I53" s="10"/>
      <c r="J53" s="10"/>
      <c r="K53" s="10"/>
      <c r="L53" s="317"/>
      <c r="M53" s="317"/>
      <c r="N53" s="11"/>
      <c r="O53" s="20"/>
      <c r="P53" s="304"/>
      <c r="S53" s="398"/>
    </row>
    <row r="54" spans="1:19" ht="6" hidden="1" customHeight="1" x14ac:dyDescent="0.2">
      <c r="A54" s="20"/>
      <c r="B54" s="12"/>
      <c r="C54" s="27"/>
      <c r="D54" s="10"/>
      <c r="E54" s="10"/>
      <c r="F54" s="10"/>
      <c r="G54" s="10"/>
      <c r="H54" s="10"/>
      <c r="I54" s="10"/>
      <c r="J54" s="10"/>
      <c r="K54" s="10"/>
      <c r="L54" s="317"/>
      <c r="M54" s="317"/>
      <c r="N54" s="11"/>
      <c r="O54" s="20"/>
      <c r="P54" s="304"/>
      <c r="S54" s="398"/>
    </row>
    <row r="55" spans="1:19" ht="15" x14ac:dyDescent="0.2">
      <c r="A55" s="20"/>
      <c r="B55" s="12"/>
      <c r="C55" s="115">
        <v>13</v>
      </c>
      <c r="D55" s="27" t="s">
        <v>406</v>
      </c>
      <c r="E55" s="10"/>
      <c r="F55" s="10"/>
      <c r="G55" s="10"/>
      <c r="H55" s="10"/>
      <c r="I55" s="10"/>
      <c r="J55" s="10"/>
      <c r="K55" s="10"/>
      <c r="L55" s="317"/>
      <c r="M55" s="317"/>
      <c r="N55" s="11"/>
      <c r="O55" s="20"/>
      <c r="P55" s="304"/>
      <c r="R55" s="397"/>
      <c r="S55" s="398"/>
    </row>
    <row r="56" spans="1:19" ht="15" x14ac:dyDescent="0.2">
      <c r="A56" s="20"/>
      <c r="B56" s="12"/>
      <c r="C56" s="115"/>
      <c r="D56" s="1"/>
      <c r="E56" s="10"/>
      <c r="F56" s="10"/>
      <c r="G56" s="10"/>
      <c r="H56" s="10"/>
      <c r="I56" s="10"/>
      <c r="J56" s="10"/>
      <c r="K56" s="10"/>
      <c r="L56" s="10"/>
      <c r="M56" s="17"/>
      <c r="N56" s="11"/>
      <c r="O56" s="20"/>
      <c r="P56" s="304"/>
    </row>
    <row r="57" spans="1:19" ht="15" x14ac:dyDescent="0.2">
      <c r="A57" s="20"/>
      <c r="B57" s="445" t="str">
        <f>IF(F28="","Dag 3","Spisetid")</f>
        <v>Dag 3</v>
      </c>
      <c r="C57" s="446"/>
      <c r="D57" s="430" t="str">
        <f>IF(F28="","Spisetid",F28)</f>
        <v>Spisetid</v>
      </c>
      <c r="E57" s="455" t="str">
        <f>IF(F28="","","Start ca. kl.")</f>
        <v/>
      </c>
      <c r="F57" s="455"/>
      <c r="G57" s="416" t="str">
        <f>IF(F28="","",TEXT(D57-0.25/24,"tt:mm"))</f>
        <v/>
      </c>
      <c r="H57" s="416"/>
      <c r="I57" s="412"/>
      <c r="J57" s="4"/>
      <c r="K57" s="4"/>
      <c r="L57" s="4"/>
      <c r="M57" s="8"/>
      <c r="N57" s="11"/>
      <c r="O57" s="20"/>
    </row>
    <row r="58" spans="1:19" ht="15" x14ac:dyDescent="0.2">
      <c r="A58" s="20"/>
      <c r="B58" s="12"/>
      <c r="C58" s="115">
        <v>14</v>
      </c>
      <c r="D58" s="451" t="s">
        <v>408</v>
      </c>
      <c r="E58" s="451"/>
      <c r="F58" s="451"/>
      <c r="G58" s="451"/>
      <c r="H58" s="451"/>
      <c r="I58" s="451"/>
      <c r="J58" s="451"/>
      <c r="K58" s="451"/>
      <c r="L58" s="451"/>
      <c r="M58" s="451"/>
      <c r="N58" s="11"/>
      <c r="O58" s="20"/>
    </row>
    <row r="59" spans="1:19" ht="15" hidden="1" x14ac:dyDescent="0.2">
      <c r="A59" s="20"/>
      <c r="B59" s="12"/>
      <c r="C59" s="1"/>
      <c r="D59" s="1"/>
      <c r="E59" s="1"/>
      <c r="F59" s="1"/>
      <c r="G59" s="1"/>
      <c r="H59" s="1"/>
      <c r="I59" s="1"/>
      <c r="J59" s="1"/>
      <c r="K59" s="1"/>
      <c r="L59" s="1"/>
      <c r="M59" s="413"/>
      <c r="N59" s="11"/>
      <c r="O59" s="20"/>
    </row>
    <row r="60" spans="1:19" ht="7.5" customHeight="1" x14ac:dyDescent="0.2">
      <c r="A60" s="20"/>
      <c r="B60" s="3"/>
      <c r="C60" s="4"/>
      <c r="D60" s="4"/>
      <c r="E60" s="4"/>
      <c r="F60" s="4"/>
      <c r="G60" s="4"/>
      <c r="H60" s="4"/>
      <c r="I60" s="4"/>
      <c r="J60" s="4"/>
      <c r="K60" s="4"/>
      <c r="L60" s="4"/>
      <c r="M60" s="8"/>
      <c r="N60" s="9"/>
      <c r="O60" s="20"/>
    </row>
    <row r="61" spans="1:19" ht="15" hidden="1" x14ac:dyDescent="0.2">
      <c r="A61" s="20"/>
      <c r="B61" s="20"/>
      <c r="C61" s="20"/>
      <c r="D61" s="20"/>
      <c r="E61" s="20"/>
      <c r="F61" s="20"/>
      <c r="G61" s="20"/>
      <c r="H61" s="20"/>
      <c r="I61" s="20"/>
      <c r="J61" s="20"/>
      <c r="K61" s="20"/>
      <c r="L61" s="20"/>
      <c r="M61" s="21"/>
      <c r="N61" s="20"/>
      <c r="O61" s="20"/>
    </row>
    <row r="62" spans="1:19" ht="16" customHeight="1" x14ac:dyDescent="0.2">
      <c r="A62" s="20"/>
      <c r="B62" s="20"/>
      <c r="C62" s="20"/>
      <c r="D62" s="20"/>
      <c r="E62" s="20"/>
      <c r="F62" s="20"/>
      <c r="G62" s="20"/>
      <c r="H62" s="20"/>
      <c r="I62" s="20"/>
      <c r="J62" s="20"/>
      <c r="K62" s="20"/>
      <c r="L62" s="20"/>
      <c r="M62" s="21"/>
      <c r="N62" s="20"/>
      <c r="O62" s="20"/>
    </row>
    <row r="63" spans="1:19" ht="16" hidden="1" customHeight="1" x14ac:dyDescent="0.2"/>
    <row r="64" spans="1:19" ht="16" hidden="1" customHeight="1" x14ac:dyDescent="0.2"/>
    <row r="65" ht="16" hidden="1" customHeight="1" x14ac:dyDescent="0.2"/>
    <row r="66" ht="16" hidden="1" customHeight="1" x14ac:dyDescent="0.2"/>
    <row r="67" ht="16" hidden="1" customHeight="1" x14ac:dyDescent="0.2"/>
    <row r="68" ht="16" hidden="1" customHeight="1" x14ac:dyDescent="0.2"/>
    <row r="69" ht="16" hidden="1" customHeight="1" x14ac:dyDescent="0.2"/>
    <row r="70" ht="16" hidden="1" customHeight="1" x14ac:dyDescent="0.2"/>
    <row r="71" ht="16" hidden="1" customHeight="1" x14ac:dyDescent="0.2"/>
    <row r="72" ht="16" hidden="1" customHeight="1" x14ac:dyDescent="0.2"/>
    <row r="73" ht="16" hidden="1" customHeight="1" x14ac:dyDescent="0.2"/>
    <row r="74" ht="16" hidden="1" customHeight="1" x14ac:dyDescent="0.2"/>
  </sheetData>
  <sheetProtection sheet="1" objects="1" scenarios="1" selectLockedCells="1"/>
  <mergeCells count="17">
    <mergeCell ref="D58:M58"/>
    <mergeCell ref="K27:M29"/>
    <mergeCell ref="B40:C40"/>
    <mergeCell ref="B57:C57"/>
    <mergeCell ref="E40:G40"/>
    <mergeCell ref="E33:G33"/>
    <mergeCell ref="E57:F57"/>
    <mergeCell ref="E32:G32"/>
    <mergeCell ref="C9:L10"/>
    <mergeCell ref="G11:H11"/>
    <mergeCell ref="K11:L11"/>
    <mergeCell ref="L44:M44"/>
    <mergeCell ref="L43:M43"/>
    <mergeCell ref="F28:H28"/>
    <mergeCell ref="F29:H29"/>
    <mergeCell ref="B33:C33"/>
    <mergeCell ref="B31:D32"/>
  </mergeCells>
  <conditionalFormatting sqref="E22">
    <cfRule type="expression" dxfId="8" priority="16">
      <formula>$E$24&lt;&gt;0.645</formula>
    </cfRule>
  </conditionalFormatting>
  <conditionalFormatting sqref="L44:M44">
    <cfRule type="expression" dxfId="7" priority="4">
      <formula>AND(E26&gt;0,E26&lt;&gt;"")</formula>
    </cfRule>
  </conditionalFormatting>
  <conditionalFormatting sqref="L43:M43">
    <cfRule type="expression" dxfId="6" priority="2">
      <formula>AND(E26&gt;0,E26&lt;&gt;"")</formula>
    </cfRule>
  </conditionalFormatting>
  <conditionalFormatting sqref="K27:M29">
    <cfRule type="expression" dxfId="5" priority="1">
      <formula>(F28-NOW())*24&lt;43</formula>
    </cfRule>
  </conditionalFormatting>
  <dataValidations xWindow="311" yWindow="565" count="2">
    <dataValidation allowBlank="1" showInputMessage="1" promptTitle="Forslag" prompt="Ca. 4% tørret surdej._x000a_F.eks. Grand Farine Levain eller Caputo Criscito._x000a_" sqref="E26" xr:uid="{48A67BBF-4DE0-4C90-BE48-2F342A27D8E9}"/>
    <dataValidation allowBlank="1" sqref="N27:N29 C29 B27:J27 B28:F29 I29:J29" xr:uid="{FEAD2FCB-51C5-4CD5-AE09-E3A7E2AFCB62}"/>
  </dataValidations>
  <pageMargins left="0.23622047244094491" right="0.23622047244094491" top="0.74803149606299213" bottom="0.74803149606299213" header="0.31496062992125984" footer="0.31496062992125984"/>
  <pageSetup paperSize="9" scale="7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4FFD8-4C04-4666-9F23-A7321088A32E}">
  <sheetPr>
    <tabColor theme="0"/>
  </sheetPr>
  <dimension ref="A1:E19"/>
  <sheetViews>
    <sheetView workbookViewId="0">
      <selection activeCell="B5" sqref="B5"/>
    </sheetView>
  </sheetViews>
  <sheetFormatPr baseColWidth="10" defaultColWidth="0" defaultRowHeight="15" x14ac:dyDescent="0.2"/>
  <cols>
    <col min="1" max="1" width="3.6640625" customWidth="1"/>
    <col min="2" max="2" width="9.1640625" style="385" customWidth="1"/>
    <col min="3" max="3" width="24.83203125" bestFit="1" customWidth="1"/>
    <col min="4" max="4" width="72.5" customWidth="1"/>
    <col min="5" max="5" width="4.33203125" customWidth="1"/>
    <col min="6" max="16384" width="9.1640625" hidden="1"/>
  </cols>
  <sheetData>
    <row r="1" spans="1:5" x14ac:dyDescent="0.2">
      <c r="A1" s="67"/>
      <c r="B1" s="387"/>
      <c r="C1" s="67"/>
      <c r="D1" s="67"/>
      <c r="E1" s="67"/>
    </row>
    <row r="2" spans="1:5" x14ac:dyDescent="0.2">
      <c r="A2" s="67"/>
      <c r="B2" s="388" t="s">
        <v>390</v>
      </c>
      <c r="C2" s="36" t="s">
        <v>391</v>
      </c>
      <c r="D2" s="36" t="s">
        <v>393</v>
      </c>
      <c r="E2" s="67"/>
    </row>
    <row r="3" spans="1:5" x14ac:dyDescent="0.2">
      <c r="B3" s="385" t="s">
        <v>389</v>
      </c>
      <c r="C3" t="s">
        <v>392</v>
      </c>
      <c r="D3" t="s">
        <v>396</v>
      </c>
    </row>
    <row r="4" spans="1:5" x14ac:dyDescent="0.2">
      <c r="D4" t="s">
        <v>411</v>
      </c>
    </row>
    <row r="19" spans="3:3" x14ac:dyDescent="0.2">
      <c r="C19" s="386" t="s">
        <v>395</v>
      </c>
    </row>
  </sheetData>
  <hyperlinks>
    <hyperlink ref="C19" r:id="rId1" xr:uid="{5EA04E36-3501-43F2-ADA4-C1CC046943A9}"/>
  </hyperlink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A8E94-5157-4FD6-B01F-D8A7232708D0}">
  <sheetPr codeName="Ark11">
    <outlinePr summaryBelow="0" summaryRight="0"/>
  </sheetPr>
  <dimension ref="A1:AE67"/>
  <sheetViews>
    <sheetView workbookViewId="0">
      <pane xSplit="2" ySplit="5" topLeftCell="C6" activePane="bottomRight" state="frozen"/>
      <selection pane="topRight" activeCell="C1" sqref="C1"/>
      <selection pane="bottomLeft" activeCell="A6" sqref="A6"/>
      <selection pane="bottomRight" activeCell="M20" sqref="M20"/>
    </sheetView>
  </sheetViews>
  <sheetFormatPr baseColWidth="10" defaultColWidth="14.5" defaultRowHeight="15.75" customHeight="1" x14ac:dyDescent="0.15"/>
  <cols>
    <col min="1" max="1" width="7.5" style="262" bestFit="1" customWidth="1"/>
    <col min="2" max="2" width="7.1640625" style="262" hidden="1" customWidth="1"/>
    <col min="3" max="29" width="5.83203125" style="262" customWidth="1"/>
    <col min="30" max="30" width="2.1640625" style="262" customWidth="1"/>
    <col min="31" max="31" width="5.83203125" style="262" customWidth="1"/>
    <col min="32" max="16384" width="14.5" style="262"/>
  </cols>
  <sheetData>
    <row r="1" spans="1:31" ht="15.75" customHeight="1" x14ac:dyDescent="0.15">
      <c r="A1" s="267" t="s">
        <v>307</v>
      </c>
      <c r="B1" s="268"/>
      <c r="C1" s="269">
        <v>4.0000000000000001E-3</v>
      </c>
      <c r="D1" s="270">
        <v>8.0000000000000002E-3</v>
      </c>
      <c r="E1" s="270">
        <v>1.2999999999999999E-2</v>
      </c>
      <c r="F1" s="270">
        <v>2.1000000000000001E-2</v>
      </c>
      <c r="G1" s="270">
        <v>3.2000000000000001E-2</v>
      </c>
      <c r="H1" s="270">
        <v>4.2000000000000003E-2</v>
      </c>
      <c r="I1" s="270">
        <v>5.2999999999999999E-2</v>
      </c>
      <c r="J1" s="270">
        <v>6.3E-2</v>
      </c>
      <c r="K1" s="270">
        <v>7.3999999999999996E-2</v>
      </c>
      <c r="L1" s="270">
        <v>8.4000000000000005E-2</v>
      </c>
      <c r="M1" s="270">
        <v>0.126</v>
      </c>
      <c r="N1" s="270">
        <v>0.16800000000000001</v>
      </c>
      <c r="O1" s="270">
        <v>0.21</v>
      </c>
      <c r="P1" s="270">
        <v>0.252</v>
      </c>
      <c r="Q1" s="270">
        <v>0.29399999999999998</v>
      </c>
      <c r="R1" s="270">
        <v>0.33600000000000002</v>
      </c>
      <c r="S1" s="270">
        <v>0.42</v>
      </c>
      <c r="T1" s="270">
        <v>0.504</v>
      </c>
      <c r="U1" s="270">
        <v>0.58799999999999997</v>
      </c>
      <c r="V1" s="270">
        <v>0.67200000000000004</v>
      </c>
      <c r="W1" s="270">
        <v>0.75600000000000001</v>
      </c>
      <c r="X1" s="270">
        <v>0.84</v>
      </c>
      <c r="Y1" s="270">
        <v>0.92400000000000004</v>
      </c>
      <c r="Z1" s="270">
        <v>1.008</v>
      </c>
      <c r="AA1" s="270">
        <v>1.0920000000000001</v>
      </c>
      <c r="AB1" s="270">
        <v>1.1759999999999999</v>
      </c>
      <c r="AC1" s="270">
        <v>1.26</v>
      </c>
      <c r="AD1" s="281"/>
      <c r="AE1" s="266"/>
    </row>
    <row r="2" spans="1:31" ht="15.75" customHeight="1" x14ac:dyDescent="0.15">
      <c r="A2" s="267" t="s">
        <v>306</v>
      </c>
      <c r="B2" s="268"/>
      <c r="C2" s="269">
        <v>3.0000000000000001E-3</v>
      </c>
      <c r="D2" s="270">
        <v>6.0000000000000001E-3</v>
      </c>
      <c r="E2" s="270">
        <v>0.01</v>
      </c>
      <c r="F2" s="270">
        <v>1.6E-2</v>
      </c>
      <c r="G2" s="270">
        <v>2.4E-2</v>
      </c>
      <c r="H2" s="270">
        <v>3.2000000000000001E-2</v>
      </c>
      <c r="I2" s="270">
        <v>0.04</v>
      </c>
      <c r="J2" s="270">
        <v>4.8000000000000001E-2</v>
      </c>
      <c r="K2" s="270">
        <v>5.6000000000000001E-2</v>
      </c>
      <c r="L2" s="270">
        <v>6.4000000000000001E-2</v>
      </c>
      <c r="M2" s="270">
        <v>9.6000000000000002E-2</v>
      </c>
      <c r="N2" s="270">
        <v>0.128</v>
      </c>
      <c r="O2" s="270">
        <v>0.16</v>
      </c>
      <c r="P2" s="270">
        <v>0.192</v>
      </c>
      <c r="Q2" s="270">
        <v>0.224</v>
      </c>
      <c r="R2" s="270">
        <v>0.25600000000000001</v>
      </c>
      <c r="S2" s="270">
        <v>0.32</v>
      </c>
      <c r="T2" s="271">
        <v>0.38400000000000001</v>
      </c>
      <c r="U2" s="271">
        <v>0.44800000000000001</v>
      </c>
      <c r="V2" s="271">
        <v>0.51200000000000001</v>
      </c>
      <c r="W2" s="271">
        <v>0.57599999999999996</v>
      </c>
      <c r="X2" s="271">
        <v>0.64</v>
      </c>
      <c r="Y2" s="271">
        <v>0.70399999999999996</v>
      </c>
      <c r="Z2" s="271">
        <v>0.76800000000000002</v>
      </c>
      <c r="AA2" s="271">
        <v>0.83199999999999996</v>
      </c>
      <c r="AB2" s="271">
        <v>0.89600000000000002</v>
      </c>
      <c r="AC2" s="271">
        <v>0.96</v>
      </c>
      <c r="AD2" s="268"/>
    </row>
    <row r="3" spans="1:31" ht="15.75" customHeight="1" x14ac:dyDescent="0.15">
      <c r="A3" s="267" t="s">
        <v>305</v>
      </c>
      <c r="B3" s="268"/>
      <c r="C3" s="269">
        <v>0.01</v>
      </c>
      <c r="D3" s="270">
        <v>0.02</v>
      </c>
      <c r="E3" s="270">
        <v>0.03</v>
      </c>
      <c r="F3" s="270">
        <v>0.05</v>
      </c>
      <c r="G3" s="270">
        <v>7.4999999999999997E-2</v>
      </c>
      <c r="H3" s="270">
        <v>0.1</v>
      </c>
      <c r="I3" s="270">
        <v>0.125</v>
      </c>
      <c r="J3" s="270">
        <v>0.15</v>
      </c>
      <c r="K3" s="270">
        <v>0.17499999999999999</v>
      </c>
      <c r="L3" s="270">
        <v>0.2</v>
      </c>
      <c r="M3" s="270">
        <v>0.3</v>
      </c>
      <c r="N3" s="270">
        <v>0.4</v>
      </c>
      <c r="O3" s="270">
        <v>0.5</v>
      </c>
      <c r="P3" s="270">
        <v>0.6</v>
      </c>
      <c r="Q3" s="270">
        <v>0.7</v>
      </c>
      <c r="R3" s="270">
        <v>0.8</v>
      </c>
      <c r="S3" s="270">
        <v>1</v>
      </c>
      <c r="T3" s="271">
        <v>1.2</v>
      </c>
      <c r="U3" s="271">
        <v>1.4</v>
      </c>
      <c r="V3" s="271">
        <v>1.6</v>
      </c>
      <c r="W3" s="271">
        <v>1.8</v>
      </c>
      <c r="X3" s="271">
        <v>2</v>
      </c>
      <c r="Y3" s="271">
        <v>2.2000000000000002</v>
      </c>
      <c r="Z3" s="271">
        <v>2.4</v>
      </c>
      <c r="AA3" s="271">
        <v>2.6</v>
      </c>
      <c r="AB3" s="271">
        <v>2.8</v>
      </c>
      <c r="AC3" s="271">
        <v>3</v>
      </c>
      <c r="AD3" s="281"/>
      <c r="AE3" s="266"/>
    </row>
    <row r="4" spans="1:31" ht="15.75" customHeight="1" x14ac:dyDescent="0.15">
      <c r="A4" s="275" t="s">
        <v>304</v>
      </c>
      <c r="B4" s="268"/>
      <c r="C4" s="272">
        <v>1</v>
      </c>
      <c r="D4" s="273">
        <v>1.5</v>
      </c>
      <c r="E4" s="273">
        <v>2</v>
      </c>
      <c r="F4" s="273">
        <v>2.5</v>
      </c>
      <c r="G4" s="273">
        <v>3</v>
      </c>
      <c r="H4" s="273">
        <v>4</v>
      </c>
      <c r="I4" s="273">
        <v>5</v>
      </c>
      <c r="J4" s="273">
        <v>6</v>
      </c>
      <c r="K4" s="273">
        <v>7</v>
      </c>
      <c r="L4" s="273">
        <v>8</v>
      </c>
      <c r="M4" s="273">
        <v>9</v>
      </c>
      <c r="N4" s="273">
        <v>10</v>
      </c>
      <c r="O4" s="273">
        <v>12.5</v>
      </c>
      <c r="P4" s="273">
        <v>15</v>
      </c>
      <c r="Q4" s="273">
        <v>17.5</v>
      </c>
      <c r="R4" s="273">
        <v>20</v>
      </c>
      <c r="S4" s="273">
        <v>22.5</v>
      </c>
      <c r="T4" s="273">
        <v>25</v>
      </c>
      <c r="U4" s="273">
        <v>30</v>
      </c>
      <c r="V4" s="273">
        <v>35</v>
      </c>
      <c r="W4" s="273">
        <v>40</v>
      </c>
      <c r="X4" s="274"/>
      <c r="Y4" s="274"/>
      <c r="Z4" s="274"/>
      <c r="AA4" s="274"/>
      <c r="AB4" s="274"/>
      <c r="AC4" s="274"/>
      <c r="AD4" s="274"/>
      <c r="AE4" s="263"/>
    </row>
    <row r="5" spans="1:31" ht="15.75" customHeight="1" x14ac:dyDescent="0.15">
      <c r="A5" s="288" t="s">
        <v>303</v>
      </c>
      <c r="B5" s="275" t="s">
        <v>302</v>
      </c>
      <c r="C5" s="276"/>
      <c r="D5" s="277"/>
      <c r="E5" s="277"/>
      <c r="F5" s="277"/>
      <c r="G5" s="277"/>
      <c r="H5" s="277"/>
      <c r="I5" s="277"/>
      <c r="J5" s="277"/>
      <c r="K5" s="277"/>
      <c r="L5" s="277"/>
      <c r="M5" s="277"/>
      <c r="N5" s="277"/>
      <c r="O5" s="277"/>
      <c r="P5" s="277"/>
      <c r="Q5" s="277"/>
      <c r="R5" s="277"/>
      <c r="S5" s="277"/>
      <c r="T5" s="277"/>
      <c r="U5" s="277"/>
      <c r="V5" s="277"/>
      <c r="W5" s="277"/>
      <c r="X5" s="277"/>
      <c r="Y5" s="277"/>
      <c r="Z5" s="277"/>
      <c r="AA5" s="277"/>
      <c r="AB5" s="277"/>
      <c r="AC5" s="277"/>
      <c r="AD5" s="274"/>
      <c r="AE5" s="263"/>
    </row>
    <row r="6" spans="1:31" ht="15.75" customHeight="1" x14ac:dyDescent="0.15">
      <c r="A6" s="283">
        <f t="shared" ref="A6:A37" si="0">(B6-32)/1.8</f>
        <v>1.6666666666666665</v>
      </c>
      <c r="B6" s="279">
        <v>35</v>
      </c>
      <c r="C6" s="287" t="s">
        <v>313</v>
      </c>
      <c r="D6" s="281"/>
      <c r="E6" s="281"/>
      <c r="F6" s="281"/>
      <c r="G6" s="281"/>
      <c r="H6" s="281"/>
      <c r="I6" s="281"/>
      <c r="J6" s="281"/>
      <c r="K6" s="281"/>
      <c r="L6" s="281"/>
      <c r="M6" s="274">
        <v>167</v>
      </c>
      <c r="N6" s="274">
        <v>136</v>
      </c>
      <c r="O6" s="274">
        <v>115</v>
      </c>
      <c r="P6" s="274">
        <v>101</v>
      </c>
      <c r="Q6" s="274">
        <v>90</v>
      </c>
      <c r="R6" s="274">
        <v>82</v>
      </c>
      <c r="S6" s="274">
        <v>70</v>
      </c>
      <c r="T6" s="279">
        <v>61</v>
      </c>
      <c r="U6" s="279">
        <v>54</v>
      </c>
      <c r="V6" s="279">
        <v>49</v>
      </c>
      <c r="W6" s="279">
        <v>45</v>
      </c>
      <c r="X6" s="279">
        <v>42</v>
      </c>
      <c r="Y6" s="279">
        <v>39</v>
      </c>
      <c r="Z6" s="279">
        <v>37</v>
      </c>
      <c r="AA6" s="279">
        <v>35</v>
      </c>
      <c r="AB6" s="279">
        <v>33</v>
      </c>
      <c r="AC6" s="279">
        <v>31</v>
      </c>
      <c r="AD6" s="268"/>
    </row>
    <row r="7" spans="1:31" ht="15.75" customHeight="1" x14ac:dyDescent="0.15">
      <c r="A7" s="283">
        <f t="shared" si="0"/>
        <v>2.2222222222222223</v>
      </c>
      <c r="B7" s="279">
        <v>36</v>
      </c>
      <c r="C7" s="280"/>
      <c r="D7" s="281"/>
      <c r="E7" s="281"/>
      <c r="F7" s="281"/>
      <c r="G7" s="281"/>
      <c r="H7" s="281"/>
      <c r="I7" s="281"/>
      <c r="J7" s="281"/>
      <c r="K7" s="281"/>
      <c r="L7" s="281"/>
      <c r="M7" s="274">
        <v>149</v>
      </c>
      <c r="N7" s="274">
        <v>121</v>
      </c>
      <c r="O7" s="274">
        <v>103</v>
      </c>
      <c r="P7" s="274">
        <v>90</v>
      </c>
      <c r="Q7" s="274">
        <v>80</v>
      </c>
      <c r="R7" s="274">
        <v>73</v>
      </c>
      <c r="S7" s="274">
        <v>62</v>
      </c>
      <c r="T7" s="279">
        <v>54</v>
      </c>
      <c r="U7" s="279">
        <v>49</v>
      </c>
      <c r="V7" s="279">
        <v>44</v>
      </c>
      <c r="W7" s="279">
        <v>40</v>
      </c>
      <c r="X7" s="279">
        <v>37</v>
      </c>
      <c r="Y7" s="279">
        <v>35</v>
      </c>
      <c r="Z7" s="279">
        <v>33</v>
      </c>
      <c r="AA7" s="279">
        <v>31</v>
      </c>
      <c r="AB7" s="279">
        <v>29</v>
      </c>
      <c r="AC7" s="279">
        <v>28</v>
      </c>
      <c r="AD7" s="268"/>
    </row>
    <row r="8" spans="1:31" ht="15.75" customHeight="1" x14ac:dyDescent="0.15">
      <c r="A8" s="283">
        <f t="shared" si="0"/>
        <v>2.7777777777777777</v>
      </c>
      <c r="B8" s="279">
        <v>37</v>
      </c>
      <c r="C8" s="280"/>
      <c r="D8" s="281"/>
      <c r="E8" s="281"/>
      <c r="F8" s="281"/>
      <c r="G8" s="281"/>
      <c r="H8" s="281"/>
      <c r="I8" s="281"/>
      <c r="J8" s="281"/>
      <c r="K8" s="281"/>
      <c r="L8" s="281"/>
      <c r="M8" s="274">
        <v>133</v>
      </c>
      <c r="N8" s="274">
        <v>108</v>
      </c>
      <c r="O8" s="274">
        <v>92</v>
      </c>
      <c r="P8" s="274">
        <v>80</v>
      </c>
      <c r="Q8" s="274">
        <v>72</v>
      </c>
      <c r="R8" s="274">
        <v>65</v>
      </c>
      <c r="S8" s="274">
        <v>55</v>
      </c>
      <c r="T8" s="279">
        <v>49</v>
      </c>
      <c r="U8" s="279">
        <v>43</v>
      </c>
      <c r="V8" s="279">
        <v>39</v>
      </c>
      <c r="W8" s="279">
        <v>36</v>
      </c>
      <c r="X8" s="279">
        <v>33</v>
      </c>
      <c r="Y8" s="279">
        <v>31</v>
      </c>
      <c r="Z8" s="279">
        <v>29</v>
      </c>
      <c r="AA8" s="279">
        <v>28</v>
      </c>
      <c r="AB8" s="279">
        <v>26</v>
      </c>
      <c r="AC8" s="279">
        <v>25</v>
      </c>
      <c r="AD8" s="268"/>
    </row>
    <row r="9" spans="1:31" ht="15.75" customHeight="1" x14ac:dyDescent="0.15">
      <c r="A9" s="283">
        <f t="shared" si="0"/>
        <v>3.333333333333333</v>
      </c>
      <c r="B9" s="279">
        <v>38</v>
      </c>
      <c r="C9" s="280"/>
      <c r="D9" s="281"/>
      <c r="E9" s="281"/>
      <c r="F9" s="281"/>
      <c r="G9" s="281"/>
      <c r="H9" s="281"/>
      <c r="I9" s="281"/>
      <c r="J9" s="281"/>
      <c r="K9" s="281"/>
      <c r="L9" s="274">
        <v>161</v>
      </c>
      <c r="M9" s="274">
        <v>120</v>
      </c>
      <c r="N9" s="274">
        <v>97</v>
      </c>
      <c r="O9" s="274">
        <v>82</v>
      </c>
      <c r="P9" s="274">
        <v>72</v>
      </c>
      <c r="Q9" s="274">
        <v>65</v>
      </c>
      <c r="R9" s="274">
        <v>59</v>
      </c>
      <c r="S9" s="274">
        <v>50</v>
      </c>
      <c r="T9" s="279">
        <v>44</v>
      </c>
      <c r="U9" s="279">
        <v>39</v>
      </c>
      <c r="V9" s="279">
        <v>35</v>
      </c>
      <c r="W9" s="279">
        <v>32</v>
      </c>
      <c r="X9" s="279">
        <v>30</v>
      </c>
      <c r="Y9" s="279">
        <v>28</v>
      </c>
      <c r="Z9" s="279">
        <v>26</v>
      </c>
      <c r="AA9" s="279">
        <v>25</v>
      </c>
      <c r="AB9" s="279">
        <v>24</v>
      </c>
      <c r="AC9" s="279">
        <v>22</v>
      </c>
      <c r="AD9" s="268"/>
    </row>
    <row r="10" spans="1:31" ht="15.75" customHeight="1" x14ac:dyDescent="0.15">
      <c r="A10" s="283">
        <f t="shared" si="0"/>
        <v>3.8888888888888888</v>
      </c>
      <c r="B10" s="279">
        <v>39</v>
      </c>
      <c r="C10" s="280"/>
      <c r="D10" s="281"/>
      <c r="E10" s="281"/>
      <c r="F10" s="281"/>
      <c r="G10" s="281"/>
      <c r="H10" s="281"/>
      <c r="I10" s="281"/>
      <c r="J10" s="281"/>
      <c r="K10" s="274">
        <v>159</v>
      </c>
      <c r="L10" s="274">
        <v>145</v>
      </c>
      <c r="M10" s="274">
        <v>108</v>
      </c>
      <c r="N10" s="274">
        <v>87</v>
      </c>
      <c r="O10" s="274">
        <v>74</v>
      </c>
      <c r="P10" s="274">
        <v>65</v>
      </c>
      <c r="Q10" s="274">
        <v>58</v>
      </c>
      <c r="R10" s="274">
        <v>53</v>
      </c>
      <c r="S10" s="274">
        <v>45</v>
      </c>
      <c r="T10" s="279">
        <v>39</v>
      </c>
      <c r="U10" s="279">
        <v>35</v>
      </c>
      <c r="V10" s="279">
        <v>32</v>
      </c>
      <c r="W10" s="279">
        <v>29</v>
      </c>
      <c r="X10" s="279">
        <v>27</v>
      </c>
      <c r="Y10" s="279">
        <v>25</v>
      </c>
      <c r="Z10" s="279">
        <v>24</v>
      </c>
      <c r="AA10" s="279">
        <v>22</v>
      </c>
      <c r="AB10" s="279">
        <v>21</v>
      </c>
      <c r="AC10" s="279">
        <v>20</v>
      </c>
      <c r="AD10" s="268"/>
    </row>
    <row r="11" spans="1:31" ht="15.75" customHeight="1" x14ac:dyDescent="0.15">
      <c r="A11" s="283">
        <f t="shared" si="0"/>
        <v>4.4444444444444446</v>
      </c>
      <c r="B11" s="279">
        <v>40</v>
      </c>
      <c r="C11" s="280"/>
      <c r="D11" s="281"/>
      <c r="E11" s="281"/>
      <c r="F11" s="281"/>
      <c r="G11" s="281"/>
      <c r="H11" s="281"/>
      <c r="I11" s="281"/>
      <c r="J11" s="274">
        <v>161</v>
      </c>
      <c r="K11" s="274">
        <v>144</v>
      </c>
      <c r="L11" s="274">
        <v>130</v>
      </c>
      <c r="M11" s="274">
        <v>97</v>
      </c>
      <c r="N11" s="274">
        <v>79</v>
      </c>
      <c r="O11" s="274">
        <v>67</v>
      </c>
      <c r="P11" s="274">
        <v>59</v>
      </c>
      <c r="Q11" s="274">
        <v>52</v>
      </c>
      <c r="R11" s="274">
        <v>48</v>
      </c>
      <c r="S11" s="274">
        <v>40</v>
      </c>
      <c r="T11" s="279">
        <v>35</v>
      </c>
      <c r="U11" s="279">
        <v>32</v>
      </c>
      <c r="V11" s="279">
        <v>29</v>
      </c>
      <c r="W11" s="279">
        <v>26</v>
      </c>
      <c r="X11" s="279">
        <v>24</v>
      </c>
      <c r="Y11" s="279">
        <v>23</v>
      </c>
      <c r="Z11" s="279">
        <v>21</v>
      </c>
      <c r="AA11" s="279">
        <v>20</v>
      </c>
      <c r="AB11" s="279">
        <v>19</v>
      </c>
      <c r="AC11" s="279">
        <v>18</v>
      </c>
      <c r="AD11" s="268"/>
    </row>
    <row r="12" spans="1:31" ht="15.75" customHeight="1" x14ac:dyDescent="0.15">
      <c r="A12" s="283">
        <f t="shared" si="0"/>
        <v>5</v>
      </c>
      <c r="B12" s="279">
        <v>41</v>
      </c>
      <c r="C12" s="280"/>
      <c r="D12" s="281"/>
      <c r="E12" s="281"/>
      <c r="F12" s="281"/>
      <c r="G12" s="281"/>
      <c r="H12" s="281"/>
      <c r="I12" s="274">
        <v>165</v>
      </c>
      <c r="J12" s="274">
        <v>145</v>
      </c>
      <c r="K12" s="274">
        <v>130</v>
      </c>
      <c r="L12" s="274">
        <v>118</v>
      </c>
      <c r="M12" s="274">
        <v>88</v>
      </c>
      <c r="N12" s="274">
        <v>71</v>
      </c>
      <c r="O12" s="274">
        <v>61</v>
      </c>
      <c r="P12" s="274">
        <v>53</v>
      </c>
      <c r="Q12" s="274">
        <v>47</v>
      </c>
      <c r="R12" s="274">
        <v>43</v>
      </c>
      <c r="S12" s="274">
        <v>37</v>
      </c>
      <c r="T12" s="279">
        <v>32</v>
      </c>
      <c r="U12" s="279">
        <v>29</v>
      </c>
      <c r="V12" s="279">
        <v>26</v>
      </c>
      <c r="W12" s="279">
        <v>24</v>
      </c>
      <c r="X12" s="279">
        <v>22</v>
      </c>
      <c r="Y12" s="279">
        <v>21</v>
      </c>
      <c r="Z12" s="279">
        <v>19</v>
      </c>
      <c r="AA12" s="279">
        <v>18</v>
      </c>
      <c r="AB12" s="279">
        <v>17</v>
      </c>
      <c r="AC12" s="279">
        <v>16</v>
      </c>
      <c r="AD12" s="268"/>
    </row>
    <row r="13" spans="1:31" ht="15.75" customHeight="1" x14ac:dyDescent="0.15">
      <c r="A13" s="283">
        <f t="shared" si="0"/>
        <v>5.5555555555555554</v>
      </c>
      <c r="B13" s="279">
        <v>42</v>
      </c>
      <c r="C13" s="280"/>
      <c r="D13" s="281"/>
      <c r="E13" s="281"/>
      <c r="F13" s="281"/>
      <c r="G13" s="281"/>
      <c r="H13" s="281"/>
      <c r="I13" s="274">
        <v>151</v>
      </c>
      <c r="J13" s="274">
        <v>132</v>
      </c>
      <c r="K13" s="274">
        <v>118</v>
      </c>
      <c r="L13" s="274">
        <v>107</v>
      </c>
      <c r="M13" s="274">
        <v>80</v>
      </c>
      <c r="N13" s="274">
        <v>65</v>
      </c>
      <c r="O13" s="274">
        <v>55</v>
      </c>
      <c r="P13" s="274">
        <v>48</v>
      </c>
      <c r="Q13" s="274">
        <v>43</v>
      </c>
      <c r="R13" s="274">
        <v>39</v>
      </c>
      <c r="S13" s="274">
        <v>33</v>
      </c>
      <c r="T13" s="279">
        <v>29</v>
      </c>
      <c r="U13" s="279">
        <v>26</v>
      </c>
      <c r="V13" s="279">
        <v>24</v>
      </c>
      <c r="W13" s="279">
        <v>22</v>
      </c>
      <c r="X13" s="279">
        <v>20</v>
      </c>
      <c r="Y13" s="279">
        <v>19</v>
      </c>
      <c r="Z13" s="279">
        <v>18</v>
      </c>
      <c r="AA13" s="279">
        <v>17</v>
      </c>
      <c r="AB13" s="279">
        <v>16</v>
      </c>
      <c r="AC13" s="279">
        <v>15</v>
      </c>
      <c r="AD13" s="268"/>
    </row>
    <row r="14" spans="1:31" ht="15.75" customHeight="1" x14ac:dyDescent="0.15">
      <c r="A14" s="283">
        <f t="shared" si="0"/>
        <v>6.1111111111111107</v>
      </c>
      <c r="B14" s="279">
        <v>43</v>
      </c>
      <c r="C14" s="280"/>
      <c r="D14" s="281"/>
      <c r="E14" s="281"/>
      <c r="F14" s="281"/>
      <c r="G14" s="281"/>
      <c r="H14" s="274">
        <v>161</v>
      </c>
      <c r="I14" s="274">
        <v>137</v>
      </c>
      <c r="J14" s="274">
        <v>120</v>
      </c>
      <c r="K14" s="274">
        <v>107</v>
      </c>
      <c r="L14" s="274">
        <v>97</v>
      </c>
      <c r="M14" s="274">
        <v>72</v>
      </c>
      <c r="N14" s="274">
        <v>59</v>
      </c>
      <c r="O14" s="274">
        <v>50</v>
      </c>
      <c r="P14" s="274">
        <v>44</v>
      </c>
      <c r="Q14" s="274">
        <v>39</v>
      </c>
      <c r="R14" s="274">
        <v>35</v>
      </c>
      <c r="S14" s="274">
        <v>30</v>
      </c>
      <c r="T14" s="279">
        <v>26</v>
      </c>
      <c r="U14" s="279">
        <v>24</v>
      </c>
      <c r="V14" s="279">
        <v>21</v>
      </c>
      <c r="W14" s="279">
        <v>20</v>
      </c>
      <c r="X14" s="279">
        <v>18</v>
      </c>
      <c r="Y14" s="279">
        <v>17</v>
      </c>
      <c r="Z14" s="279">
        <v>16</v>
      </c>
      <c r="AA14" s="279">
        <v>15</v>
      </c>
      <c r="AB14" s="279">
        <v>14</v>
      </c>
      <c r="AC14" s="279">
        <v>14</v>
      </c>
      <c r="AD14" s="268"/>
    </row>
    <row r="15" spans="1:31" ht="15.75" customHeight="1" x14ac:dyDescent="0.15">
      <c r="A15" s="283">
        <f t="shared" si="0"/>
        <v>6.6666666666666661</v>
      </c>
      <c r="B15" s="279">
        <v>44</v>
      </c>
      <c r="C15" s="280"/>
      <c r="D15" s="281"/>
      <c r="E15" s="281"/>
      <c r="F15" s="281"/>
      <c r="G15" s="281"/>
      <c r="H15" s="274">
        <v>147</v>
      </c>
      <c r="I15" s="274">
        <v>125</v>
      </c>
      <c r="J15" s="274">
        <v>109</v>
      </c>
      <c r="K15" s="274">
        <v>98</v>
      </c>
      <c r="L15" s="274">
        <v>88</v>
      </c>
      <c r="M15" s="274">
        <v>66</v>
      </c>
      <c r="N15" s="274">
        <v>53</v>
      </c>
      <c r="O15" s="274">
        <v>45</v>
      </c>
      <c r="P15" s="274">
        <v>40</v>
      </c>
      <c r="Q15" s="274">
        <v>36</v>
      </c>
      <c r="R15" s="274">
        <v>32</v>
      </c>
      <c r="S15" s="274">
        <v>27</v>
      </c>
      <c r="T15" s="279">
        <v>24</v>
      </c>
      <c r="U15" s="279">
        <v>21</v>
      </c>
      <c r="V15" s="279">
        <v>19</v>
      </c>
      <c r="W15" s="279">
        <v>18</v>
      </c>
      <c r="X15" s="279">
        <v>17</v>
      </c>
      <c r="Y15" s="279">
        <v>15</v>
      </c>
      <c r="Z15" s="279">
        <v>14</v>
      </c>
      <c r="AA15" s="279">
        <v>14</v>
      </c>
      <c r="AB15" s="279">
        <v>13</v>
      </c>
      <c r="AC15" s="279">
        <v>12</v>
      </c>
      <c r="AD15" s="268"/>
    </row>
    <row r="16" spans="1:31" ht="15.75" customHeight="1" x14ac:dyDescent="0.15">
      <c r="A16" s="283">
        <f t="shared" si="0"/>
        <v>7.2222222222222223</v>
      </c>
      <c r="B16" s="279">
        <v>45</v>
      </c>
      <c r="C16" s="280"/>
      <c r="D16" s="281"/>
      <c r="E16" s="281"/>
      <c r="F16" s="281"/>
      <c r="G16" s="274">
        <v>165</v>
      </c>
      <c r="H16" s="274">
        <v>134</v>
      </c>
      <c r="I16" s="274">
        <v>114</v>
      </c>
      <c r="J16" s="274">
        <v>100</v>
      </c>
      <c r="K16" s="274">
        <v>89</v>
      </c>
      <c r="L16" s="274">
        <v>81</v>
      </c>
      <c r="M16" s="274">
        <v>60</v>
      </c>
      <c r="N16" s="274">
        <v>49</v>
      </c>
      <c r="O16" s="274">
        <v>41</v>
      </c>
      <c r="P16" s="274">
        <v>36</v>
      </c>
      <c r="Q16" s="274">
        <v>32</v>
      </c>
      <c r="R16" s="274">
        <v>29</v>
      </c>
      <c r="S16" s="274">
        <v>25</v>
      </c>
      <c r="T16" s="279">
        <v>22</v>
      </c>
      <c r="U16" s="279">
        <v>20</v>
      </c>
      <c r="V16" s="279">
        <v>18</v>
      </c>
      <c r="W16" s="279">
        <v>16</v>
      </c>
      <c r="X16" s="279">
        <v>15</v>
      </c>
      <c r="Y16" s="279">
        <v>14</v>
      </c>
      <c r="Z16" s="279">
        <v>13</v>
      </c>
      <c r="AA16" s="279">
        <v>12</v>
      </c>
      <c r="AB16" s="279">
        <v>12</v>
      </c>
      <c r="AC16" s="279">
        <v>11</v>
      </c>
      <c r="AD16" s="268"/>
    </row>
    <row r="17" spans="1:30" ht="15.75" customHeight="1" x14ac:dyDescent="0.15">
      <c r="A17" s="283">
        <f t="shared" si="0"/>
        <v>7.7777777777777777</v>
      </c>
      <c r="B17" s="279">
        <v>46</v>
      </c>
      <c r="C17" s="280"/>
      <c r="D17" s="281"/>
      <c r="E17" s="281"/>
      <c r="F17" s="281"/>
      <c r="G17" s="274">
        <v>151</v>
      </c>
      <c r="H17" s="274">
        <v>122</v>
      </c>
      <c r="I17" s="274">
        <v>104</v>
      </c>
      <c r="J17" s="274">
        <v>91</v>
      </c>
      <c r="K17" s="274">
        <v>81</v>
      </c>
      <c r="L17" s="274">
        <v>74</v>
      </c>
      <c r="M17" s="274">
        <v>55</v>
      </c>
      <c r="N17" s="274">
        <v>45</v>
      </c>
      <c r="O17" s="274">
        <v>38</v>
      </c>
      <c r="P17" s="274">
        <v>33</v>
      </c>
      <c r="Q17" s="274">
        <v>30</v>
      </c>
      <c r="R17" s="274">
        <v>27</v>
      </c>
      <c r="S17" s="274">
        <v>23</v>
      </c>
      <c r="T17" s="279">
        <v>20</v>
      </c>
      <c r="U17" s="279">
        <v>18</v>
      </c>
      <c r="V17" s="279">
        <v>16</v>
      </c>
      <c r="W17" s="279">
        <v>15</v>
      </c>
      <c r="X17" s="279">
        <v>14</v>
      </c>
      <c r="Y17" s="279">
        <v>13</v>
      </c>
      <c r="Z17" s="279">
        <v>12</v>
      </c>
      <c r="AA17" s="279">
        <v>11</v>
      </c>
      <c r="AB17" s="279">
        <v>11</v>
      </c>
      <c r="AC17" s="279">
        <v>10</v>
      </c>
      <c r="AD17" s="268"/>
    </row>
    <row r="18" spans="1:30" ht="15.75" customHeight="1" x14ac:dyDescent="0.15">
      <c r="A18" s="283">
        <f t="shared" si="0"/>
        <v>8.3333333333333339</v>
      </c>
      <c r="B18" s="279">
        <v>47</v>
      </c>
      <c r="C18" s="280"/>
      <c r="D18" s="281"/>
      <c r="E18" s="281"/>
      <c r="F18" s="281"/>
      <c r="G18" s="274">
        <v>138</v>
      </c>
      <c r="H18" s="274">
        <v>112</v>
      </c>
      <c r="I18" s="274">
        <v>95</v>
      </c>
      <c r="J18" s="274">
        <v>83</v>
      </c>
      <c r="K18" s="274">
        <v>74</v>
      </c>
      <c r="L18" s="274">
        <v>67</v>
      </c>
      <c r="M18" s="274">
        <v>50</v>
      </c>
      <c r="N18" s="274">
        <v>41</v>
      </c>
      <c r="O18" s="274">
        <v>35</v>
      </c>
      <c r="P18" s="274">
        <v>30</v>
      </c>
      <c r="Q18" s="274">
        <v>27</v>
      </c>
      <c r="R18" s="274">
        <v>25</v>
      </c>
      <c r="S18" s="274">
        <v>21</v>
      </c>
      <c r="T18" s="279">
        <v>18</v>
      </c>
      <c r="U18" s="279">
        <v>16</v>
      </c>
      <c r="V18" s="279">
        <v>15</v>
      </c>
      <c r="W18" s="279">
        <v>14</v>
      </c>
      <c r="X18" s="279">
        <v>13</v>
      </c>
      <c r="Y18" s="279">
        <v>12</v>
      </c>
      <c r="Z18" s="279">
        <v>11</v>
      </c>
      <c r="AA18" s="279">
        <v>10</v>
      </c>
      <c r="AB18" s="279">
        <v>10</v>
      </c>
      <c r="AC18" s="279">
        <v>9</v>
      </c>
      <c r="AD18" s="268"/>
    </row>
    <row r="19" spans="1:30" ht="15.75" customHeight="1" x14ac:dyDescent="0.15">
      <c r="A19" s="283">
        <f t="shared" si="0"/>
        <v>8.8888888888888893</v>
      </c>
      <c r="B19" s="279">
        <v>48</v>
      </c>
      <c r="C19" s="280"/>
      <c r="D19" s="281"/>
      <c r="E19" s="281"/>
      <c r="F19" s="281"/>
      <c r="G19" s="274">
        <v>126</v>
      </c>
      <c r="H19" s="274">
        <v>102</v>
      </c>
      <c r="I19" s="274">
        <v>87</v>
      </c>
      <c r="J19" s="274">
        <v>76</v>
      </c>
      <c r="K19" s="274">
        <v>68</v>
      </c>
      <c r="L19" s="274">
        <v>62</v>
      </c>
      <c r="M19" s="274">
        <v>46</v>
      </c>
      <c r="N19" s="274">
        <v>37</v>
      </c>
      <c r="O19" s="274">
        <v>32</v>
      </c>
      <c r="P19" s="274">
        <v>28</v>
      </c>
      <c r="Q19" s="274">
        <v>25</v>
      </c>
      <c r="R19" s="274">
        <v>23</v>
      </c>
      <c r="S19" s="274">
        <v>19</v>
      </c>
      <c r="T19" s="279">
        <v>17</v>
      </c>
      <c r="U19" s="279">
        <v>15</v>
      </c>
      <c r="V19" s="279">
        <v>14</v>
      </c>
      <c r="W19" s="279">
        <v>12</v>
      </c>
      <c r="X19" s="279">
        <v>12</v>
      </c>
      <c r="Y19" s="279">
        <v>11</v>
      </c>
      <c r="Z19" s="279">
        <v>10</v>
      </c>
      <c r="AA19" s="279">
        <v>10</v>
      </c>
      <c r="AB19" s="279">
        <v>9</v>
      </c>
      <c r="AC19" s="279">
        <v>9</v>
      </c>
      <c r="AD19" s="268"/>
    </row>
    <row r="20" spans="1:30" ht="15.75" customHeight="1" x14ac:dyDescent="0.15">
      <c r="A20" s="283">
        <f t="shared" si="0"/>
        <v>9.4444444444444446</v>
      </c>
      <c r="B20" s="279">
        <v>49</v>
      </c>
      <c r="C20" s="280"/>
      <c r="D20" s="281"/>
      <c r="E20" s="281"/>
      <c r="F20" s="274">
        <v>156</v>
      </c>
      <c r="G20" s="274">
        <v>116</v>
      </c>
      <c r="H20" s="274">
        <v>94</v>
      </c>
      <c r="I20" s="274">
        <v>80</v>
      </c>
      <c r="J20" s="274">
        <v>70</v>
      </c>
      <c r="K20" s="274">
        <v>63</v>
      </c>
      <c r="L20" s="274">
        <v>57</v>
      </c>
      <c r="M20" s="274">
        <v>42</v>
      </c>
      <c r="N20" s="274">
        <v>34</v>
      </c>
      <c r="O20" s="274">
        <v>29</v>
      </c>
      <c r="P20" s="274">
        <v>26</v>
      </c>
      <c r="Q20" s="274">
        <v>23</v>
      </c>
      <c r="R20" s="274">
        <v>21</v>
      </c>
      <c r="S20" s="274">
        <v>18</v>
      </c>
      <c r="T20" s="279">
        <v>15</v>
      </c>
      <c r="U20" s="279">
        <v>14</v>
      </c>
      <c r="V20" s="279">
        <v>12</v>
      </c>
      <c r="W20" s="279">
        <v>11</v>
      </c>
      <c r="X20" s="279">
        <v>11</v>
      </c>
      <c r="Y20" s="279">
        <v>10</v>
      </c>
      <c r="Z20" s="279">
        <v>9</v>
      </c>
      <c r="AA20" s="279">
        <v>9</v>
      </c>
      <c r="AB20" s="279">
        <v>8</v>
      </c>
      <c r="AC20" s="279">
        <v>8</v>
      </c>
      <c r="AD20" s="268"/>
    </row>
    <row r="21" spans="1:30" ht="15.75" customHeight="1" x14ac:dyDescent="0.15">
      <c r="A21" s="283">
        <f t="shared" si="0"/>
        <v>10</v>
      </c>
      <c r="B21" s="279">
        <v>50</v>
      </c>
      <c r="C21" s="280"/>
      <c r="D21" s="281"/>
      <c r="E21" s="281"/>
      <c r="F21" s="274">
        <v>143</v>
      </c>
      <c r="G21" s="274">
        <v>107</v>
      </c>
      <c r="H21" s="274">
        <v>86</v>
      </c>
      <c r="I21" s="274">
        <v>74</v>
      </c>
      <c r="J21" s="274">
        <v>64</v>
      </c>
      <c r="K21" s="274">
        <v>58</v>
      </c>
      <c r="L21" s="274">
        <v>52</v>
      </c>
      <c r="M21" s="274">
        <v>39</v>
      </c>
      <c r="N21" s="274">
        <v>32</v>
      </c>
      <c r="O21" s="274">
        <v>27</v>
      </c>
      <c r="P21" s="274">
        <v>23</v>
      </c>
      <c r="Q21" s="274">
        <v>21</v>
      </c>
      <c r="R21" s="274">
        <v>19</v>
      </c>
      <c r="S21" s="274">
        <v>16</v>
      </c>
      <c r="T21" s="279">
        <v>14</v>
      </c>
      <c r="U21" s="279">
        <v>13</v>
      </c>
      <c r="V21" s="279">
        <v>11</v>
      </c>
      <c r="W21" s="279">
        <v>11</v>
      </c>
      <c r="X21" s="279">
        <v>10</v>
      </c>
      <c r="Y21" s="279">
        <v>9</v>
      </c>
      <c r="Z21" s="279">
        <v>9</v>
      </c>
      <c r="AA21" s="279">
        <v>8</v>
      </c>
      <c r="AB21" s="279">
        <v>8</v>
      </c>
      <c r="AC21" s="279">
        <v>7</v>
      </c>
      <c r="AD21" s="268"/>
    </row>
    <row r="22" spans="1:30" ht="15.75" customHeight="1" x14ac:dyDescent="0.15">
      <c r="A22" s="283">
        <f t="shared" si="0"/>
        <v>10.555555555555555</v>
      </c>
      <c r="B22" s="279">
        <v>51</v>
      </c>
      <c r="C22" s="280"/>
      <c r="D22" s="281"/>
      <c r="E22" s="281"/>
      <c r="F22" s="274">
        <v>132</v>
      </c>
      <c r="G22" s="274">
        <v>98</v>
      </c>
      <c r="H22" s="274">
        <v>80</v>
      </c>
      <c r="I22" s="274">
        <v>68</v>
      </c>
      <c r="J22" s="274">
        <v>59</v>
      </c>
      <c r="K22" s="274">
        <v>53</v>
      </c>
      <c r="L22" s="274">
        <v>48</v>
      </c>
      <c r="M22" s="274">
        <v>36</v>
      </c>
      <c r="N22" s="274">
        <v>29</v>
      </c>
      <c r="O22" s="274">
        <v>25</v>
      </c>
      <c r="P22" s="274">
        <v>22</v>
      </c>
      <c r="Q22" s="274">
        <v>19</v>
      </c>
      <c r="R22" s="274">
        <v>18</v>
      </c>
      <c r="S22" s="274">
        <v>15</v>
      </c>
      <c r="T22" s="279">
        <v>13</v>
      </c>
      <c r="U22" s="279">
        <v>12</v>
      </c>
      <c r="V22" s="279">
        <v>11</v>
      </c>
      <c r="W22" s="279">
        <v>10</v>
      </c>
      <c r="X22" s="279">
        <v>9</v>
      </c>
      <c r="Y22" s="279">
        <v>8</v>
      </c>
      <c r="Z22" s="279">
        <v>8</v>
      </c>
      <c r="AA22" s="279">
        <v>7</v>
      </c>
      <c r="AB22" s="279">
        <v>7</v>
      </c>
      <c r="AC22" s="279">
        <v>7</v>
      </c>
      <c r="AD22" s="268"/>
    </row>
    <row r="23" spans="1:30" ht="15.75" customHeight="1" x14ac:dyDescent="0.15">
      <c r="A23" s="283">
        <f t="shared" si="0"/>
        <v>11.111111111111111</v>
      </c>
      <c r="B23" s="279">
        <v>52</v>
      </c>
      <c r="C23" s="280"/>
      <c r="D23" s="281"/>
      <c r="E23" s="281"/>
      <c r="F23" s="274">
        <v>122</v>
      </c>
      <c r="G23" s="274">
        <v>90</v>
      </c>
      <c r="H23" s="274">
        <v>73</v>
      </c>
      <c r="I23" s="274">
        <v>62</v>
      </c>
      <c r="J23" s="274">
        <v>55</v>
      </c>
      <c r="K23" s="274">
        <v>49</v>
      </c>
      <c r="L23" s="274">
        <v>44</v>
      </c>
      <c r="M23" s="274">
        <v>33</v>
      </c>
      <c r="N23" s="274">
        <v>27</v>
      </c>
      <c r="O23" s="274">
        <v>23</v>
      </c>
      <c r="P23" s="274">
        <v>20</v>
      </c>
      <c r="Q23" s="274">
        <v>18</v>
      </c>
      <c r="R23" s="274">
        <v>16</v>
      </c>
      <c r="S23" s="274">
        <v>14</v>
      </c>
      <c r="T23" s="279">
        <v>12</v>
      </c>
      <c r="U23" s="279">
        <v>11</v>
      </c>
      <c r="V23" s="279">
        <v>10</v>
      </c>
      <c r="W23" s="279">
        <v>9</v>
      </c>
      <c r="X23" s="279">
        <v>8</v>
      </c>
      <c r="Y23" s="279">
        <v>8</v>
      </c>
      <c r="Z23" s="279">
        <v>7</v>
      </c>
      <c r="AA23" s="279">
        <v>7</v>
      </c>
      <c r="AB23" s="279">
        <v>6</v>
      </c>
      <c r="AC23" s="279">
        <v>6</v>
      </c>
      <c r="AD23" s="279" t="s">
        <v>301</v>
      </c>
    </row>
    <row r="24" spans="1:30" ht="15.75" customHeight="1" x14ac:dyDescent="0.15">
      <c r="A24" s="283">
        <f t="shared" si="0"/>
        <v>11.666666666666666</v>
      </c>
      <c r="B24" s="279">
        <v>53</v>
      </c>
      <c r="C24" s="280"/>
      <c r="D24" s="281"/>
      <c r="E24" s="274">
        <v>163</v>
      </c>
      <c r="F24" s="274">
        <v>112</v>
      </c>
      <c r="G24" s="274">
        <v>84</v>
      </c>
      <c r="H24" s="274">
        <v>68</v>
      </c>
      <c r="I24" s="274">
        <v>58</v>
      </c>
      <c r="J24" s="274">
        <v>50</v>
      </c>
      <c r="K24" s="274">
        <v>45</v>
      </c>
      <c r="L24" s="274">
        <v>41</v>
      </c>
      <c r="M24" s="274">
        <v>30</v>
      </c>
      <c r="N24" s="274">
        <v>25</v>
      </c>
      <c r="O24" s="274">
        <v>21</v>
      </c>
      <c r="P24" s="274">
        <v>18</v>
      </c>
      <c r="Q24" s="274">
        <v>16</v>
      </c>
      <c r="R24" s="274">
        <v>15</v>
      </c>
      <c r="S24" s="274">
        <v>13</v>
      </c>
      <c r="T24" s="279">
        <v>11</v>
      </c>
      <c r="U24" s="279">
        <v>10</v>
      </c>
      <c r="V24" s="279">
        <v>9</v>
      </c>
      <c r="W24" s="279">
        <v>8</v>
      </c>
      <c r="X24" s="279">
        <v>8</v>
      </c>
      <c r="Y24" s="279">
        <v>7</v>
      </c>
      <c r="Z24" s="279">
        <v>7</v>
      </c>
      <c r="AA24" s="279">
        <v>6</v>
      </c>
      <c r="AB24" s="279">
        <v>6</v>
      </c>
      <c r="AC24" s="279">
        <v>6</v>
      </c>
      <c r="AD24" s="268"/>
    </row>
    <row r="25" spans="1:30" ht="15.75" customHeight="1" x14ac:dyDescent="0.15">
      <c r="A25" s="283">
        <f t="shared" si="0"/>
        <v>12.222222222222221</v>
      </c>
      <c r="B25" s="279">
        <v>54</v>
      </c>
      <c r="C25" s="280"/>
      <c r="D25" s="281"/>
      <c r="E25" s="274">
        <v>150</v>
      </c>
      <c r="F25" s="274">
        <v>104</v>
      </c>
      <c r="G25" s="274">
        <v>77</v>
      </c>
      <c r="H25" s="274">
        <v>63</v>
      </c>
      <c r="I25" s="274">
        <v>53</v>
      </c>
      <c r="J25" s="274">
        <v>47</v>
      </c>
      <c r="K25" s="274">
        <v>42</v>
      </c>
      <c r="L25" s="274">
        <v>38</v>
      </c>
      <c r="M25" s="274">
        <v>28</v>
      </c>
      <c r="N25" s="274">
        <v>23</v>
      </c>
      <c r="O25" s="274">
        <v>19</v>
      </c>
      <c r="P25" s="274">
        <v>17</v>
      </c>
      <c r="Q25" s="274">
        <v>15</v>
      </c>
      <c r="R25" s="274">
        <v>14</v>
      </c>
      <c r="S25" s="274">
        <v>12</v>
      </c>
      <c r="T25" s="279">
        <v>10</v>
      </c>
      <c r="U25" s="279">
        <v>9</v>
      </c>
      <c r="V25" s="279">
        <v>8</v>
      </c>
      <c r="W25" s="279">
        <v>8</v>
      </c>
      <c r="X25" s="279">
        <v>7</v>
      </c>
      <c r="Y25" s="279">
        <v>7</v>
      </c>
      <c r="Z25" s="279">
        <v>6</v>
      </c>
      <c r="AA25" s="279">
        <v>6</v>
      </c>
      <c r="AB25" s="279">
        <v>6</v>
      </c>
      <c r="AC25" s="279">
        <v>5</v>
      </c>
      <c r="AD25" s="268"/>
    </row>
    <row r="26" spans="1:30" ht="15.75" customHeight="1" x14ac:dyDescent="0.15">
      <c r="A26" s="283">
        <f t="shared" si="0"/>
        <v>12.777777777777777</v>
      </c>
      <c r="B26" s="279">
        <v>55</v>
      </c>
      <c r="C26" s="280"/>
      <c r="D26" s="281"/>
      <c r="E26" s="274">
        <v>139</v>
      </c>
      <c r="F26" s="274">
        <v>96</v>
      </c>
      <c r="G26" s="274">
        <v>71</v>
      </c>
      <c r="H26" s="274">
        <v>58</v>
      </c>
      <c r="I26" s="274">
        <v>49</v>
      </c>
      <c r="J26" s="274">
        <v>43</v>
      </c>
      <c r="K26" s="274">
        <v>39</v>
      </c>
      <c r="L26" s="274">
        <v>35</v>
      </c>
      <c r="M26" s="274">
        <v>26</v>
      </c>
      <c r="N26" s="274">
        <v>21</v>
      </c>
      <c r="O26" s="274">
        <v>18</v>
      </c>
      <c r="P26" s="274">
        <v>16</v>
      </c>
      <c r="Q26" s="274">
        <v>14</v>
      </c>
      <c r="R26" s="274">
        <v>13</v>
      </c>
      <c r="S26" s="274">
        <v>11</v>
      </c>
      <c r="T26" s="279">
        <v>9</v>
      </c>
      <c r="U26" s="279">
        <v>8</v>
      </c>
      <c r="V26" s="279">
        <v>8</v>
      </c>
      <c r="W26" s="279">
        <v>7</v>
      </c>
      <c r="X26" s="279">
        <v>7</v>
      </c>
      <c r="Y26" s="279">
        <v>6</v>
      </c>
      <c r="Z26" s="279">
        <v>6</v>
      </c>
      <c r="AA26" s="279">
        <v>5</v>
      </c>
      <c r="AB26" s="279">
        <v>5</v>
      </c>
      <c r="AC26" s="279">
        <v>5</v>
      </c>
      <c r="AD26" s="268"/>
    </row>
    <row r="27" spans="1:30" ht="15.75" customHeight="1" x14ac:dyDescent="0.15">
      <c r="A27" s="283">
        <f t="shared" si="0"/>
        <v>13.333333333333332</v>
      </c>
      <c r="B27" s="279">
        <v>56</v>
      </c>
      <c r="C27" s="280"/>
      <c r="D27" s="281"/>
      <c r="E27" s="274">
        <v>129</v>
      </c>
      <c r="F27" s="274">
        <v>89</v>
      </c>
      <c r="G27" s="274">
        <v>66</v>
      </c>
      <c r="H27" s="274">
        <v>54</v>
      </c>
      <c r="I27" s="274">
        <v>46</v>
      </c>
      <c r="J27" s="274">
        <v>40</v>
      </c>
      <c r="K27" s="274">
        <v>36</v>
      </c>
      <c r="L27" s="274">
        <v>32</v>
      </c>
      <c r="M27" s="274">
        <v>24</v>
      </c>
      <c r="N27" s="274">
        <v>20</v>
      </c>
      <c r="O27" s="274">
        <v>17</v>
      </c>
      <c r="P27" s="274">
        <v>15</v>
      </c>
      <c r="Q27" s="274">
        <v>13</v>
      </c>
      <c r="R27" s="274">
        <v>12</v>
      </c>
      <c r="S27" s="274">
        <v>10</v>
      </c>
      <c r="T27" s="279">
        <v>9</v>
      </c>
      <c r="U27" s="279">
        <v>8</v>
      </c>
      <c r="V27" s="279">
        <v>7</v>
      </c>
      <c r="W27" s="279">
        <v>7</v>
      </c>
      <c r="X27" s="279">
        <v>6</v>
      </c>
      <c r="Y27" s="279">
        <v>6</v>
      </c>
      <c r="Z27" s="279">
        <v>5</v>
      </c>
      <c r="AA27" s="279">
        <v>5</v>
      </c>
      <c r="AB27" s="279">
        <v>5</v>
      </c>
      <c r="AC27" s="279">
        <v>5</v>
      </c>
      <c r="AD27" s="268"/>
    </row>
    <row r="28" spans="1:30" ht="15.75" customHeight="1" x14ac:dyDescent="0.15">
      <c r="A28" s="283">
        <f t="shared" si="0"/>
        <v>13.888888888888889</v>
      </c>
      <c r="B28" s="279">
        <v>57</v>
      </c>
      <c r="C28" s="280"/>
      <c r="D28" s="274">
        <v>161</v>
      </c>
      <c r="E28" s="274">
        <v>120</v>
      </c>
      <c r="F28" s="274">
        <v>82</v>
      </c>
      <c r="G28" s="274">
        <v>61</v>
      </c>
      <c r="H28" s="274">
        <v>50</v>
      </c>
      <c r="I28" s="274">
        <v>42</v>
      </c>
      <c r="J28" s="274">
        <v>37</v>
      </c>
      <c r="K28" s="274">
        <v>33</v>
      </c>
      <c r="L28" s="274">
        <v>30</v>
      </c>
      <c r="M28" s="274">
        <v>22</v>
      </c>
      <c r="N28" s="274">
        <v>18</v>
      </c>
      <c r="O28" s="274">
        <v>15</v>
      </c>
      <c r="P28" s="274">
        <v>14</v>
      </c>
      <c r="Q28" s="274">
        <v>12</v>
      </c>
      <c r="R28" s="274">
        <v>11</v>
      </c>
      <c r="S28" s="274">
        <v>9</v>
      </c>
      <c r="T28" s="279">
        <v>8</v>
      </c>
      <c r="U28" s="279">
        <v>7</v>
      </c>
      <c r="V28" s="279">
        <v>7</v>
      </c>
      <c r="W28" s="279">
        <v>6</v>
      </c>
      <c r="X28" s="279">
        <v>6</v>
      </c>
      <c r="Y28" s="279">
        <v>5</v>
      </c>
      <c r="Z28" s="279">
        <v>5</v>
      </c>
      <c r="AA28" s="279">
        <v>5</v>
      </c>
      <c r="AB28" s="279">
        <v>4</v>
      </c>
      <c r="AC28" s="279">
        <v>4</v>
      </c>
      <c r="AD28" s="279" t="s">
        <v>301</v>
      </c>
    </row>
    <row r="29" spans="1:30" ht="15.75" customHeight="1" x14ac:dyDescent="0.15">
      <c r="A29" s="283">
        <f t="shared" si="0"/>
        <v>14.444444444444445</v>
      </c>
      <c r="B29" s="279">
        <v>58</v>
      </c>
      <c r="C29" s="280"/>
      <c r="D29" s="274">
        <v>149</v>
      </c>
      <c r="E29" s="274">
        <v>111</v>
      </c>
      <c r="F29" s="274">
        <v>77</v>
      </c>
      <c r="G29" s="274">
        <v>57</v>
      </c>
      <c r="H29" s="274">
        <v>46</v>
      </c>
      <c r="I29" s="274">
        <v>39</v>
      </c>
      <c r="J29" s="274">
        <v>34</v>
      </c>
      <c r="K29" s="274">
        <v>31</v>
      </c>
      <c r="L29" s="274">
        <v>28</v>
      </c>
      <c r="M29" s="274">
        <v>21</v>
      </c>
      <c r="N29" s="274">
        <v>17</v>
      </c>
      <c r="O29" s="274">
        <v>14</v>
      </c>
      <c r="P29" s="274">
        <v>13</v>
      </c>
      <c r="Q29" s="274">
        <v>11</v>
      </c>
      <c r="R29" s="274">
        <v>10</v>
      </c>
      <c r="S29" s="274">
        <v>9</v>
      </c>
      <c r="T29" s="279">
        <v>8</v>
      </c>
      <c r="U29" s="279">
        <v>7</v>
      </c>
      <c r="V29" s="279">
        <v>6</v>
      </c>
      <c r="W29" s="279">
        <v>6</v>
      </c>
      <c r="X29" s="279">
        <v>5</v>
      </c>
      <c r="Y29" s="279">
        <v>5</v>
      </c>
      <c r="Z29" s="279">
        <v>5</v>
      </c>
      <c r="AA29" s="279">
        <v>4</v>
      </c>
      <c r="AB29" s="279">
        <v>4</v>
      </c>
      <c r="AC29" s="279">
        <v>4</v>
      </c>
      <c r="AD29" s="268"/>
    </row>
    <row r="30" spans="1:30" ht="15.75" customHeight="1" x14ac:dyDescent="0.15">
      <c r="A30" s="283">
        <f t="shared" si="0"/>
        <v>15</v>
      </c>
      <c r="B30" s="279">
        <v>59</v>
      </c>
      <c r="C30" s="280"/>
      <c r="D30" s="274">
        <v>139</v>
      </c>
      <c r="E30" s="274">
        <v>103</v>
      </c>
      <c r="F30" s="274">
        <v>71</v>
      </c>
      <c r="G30" s="274">
        <v>53</v>
      </c>
      <c r="H30" s="274">
        <v>43</v>
      </c>
      <c r="I30" s="274">
        <v>37</v>
      </c>
      <c r="J30" s="274">
        <v>32</v>
      </c>
      <c r="K30" s="274">
        <v>29</v>
      </c>
      <c r="L30" s="274">
        <v>26</v>
      </c>
      <c r="M30" s="274">
        <v>19</v>
      </c>
      <c r="N30" s="274">
        <v>16</v>
      </c>
      <c r="O30" s="274">
        <v>13</v>
      </c>
      <c r="P30" s="274">
        <v>12</v>
      </c>
      <c r="Q30" s="274">
        <v>10</v>
      </c>
      <c r="R30" s="274">
        <v>9</v>
      </c>
      <c r="S30" s="274">
        <v>8</v>
      </c>
      <c r="T30" s="279">
        <v>7</v>
      </c>
      <c r="U30" s="279">
        <v>6</v>
      </c>
      <c r="V30" s="279">
        <v>6</v>
      </c>
      <c r="W30" s="279">
        <v>5</v>
      </c>
      <c r="X30" s="279">
        <v>5</v>
      </c>
      <c r="Y30" s="279">
        <v>5</v>
      </c>
      <c r="Z30" s="279">
        <v>4</v>
      </c>
      <c r="AA30" s="279">
        <v>4</v>
      </c>
      <c r="AB30" s="279">
        <v>4</v>
      </c>
      <c r="AC30" s="279">
        <v>4</v>
      </c>
      <c r="AD30" s="279" t="s">
        <v>301</v>
      </c>
    </row>
    <row r="31" spans="1:30" ht="15.75" customHeight="1" x14ac:dyDescent="0.15">
      <c r="A31" s="283">
        <f t="shared" si="0"/>
        <v>15.555555555555555</v>
      </c>
      <c r="B31" s="279">
        <v>60</v>
      </c>
      <c r="C31" s="280"/>
      <c r="D31" s="274">
        <v>129</v>
      </c>
      <c r="E31" s="274">
        <v>96</v>
      </c>
      <c r="F31" s="274">
        <v>66</v>
      </c>
      <c r="G31" s="274">
        <v>49</v>
      </c>
      <c r="H31" s="274">
        <v>40</v>
      </c>
      <c r="I31" s="274">
        <v>34</v>
      </c>
      <c r="J31" s="274">
        <v>30</v>
      </c>
      <c r="K31" s="274">
        <v>27</v>
      </c>
      <c r="L31" s="274">
        <v>24</v>
      </c>
      <c r="M31" s="274">
        <v>18</v>
      </c>
      <c r="N31" s="274">
        <v>15</v>
      </c>
      <c r="O31" s="274">
        <v>12</v>
      </c>
      <c r="P31" s="274">
        <v>11</v>
      </c>
      <c r="Q31" s="274">
        <v>10</v>
      </c>
      <c r="R31" s="274">
        <v>9</v>
      </c>
      <c r="S31" s="274">
        <v>7</v>
      </c>
      <c r="T31" s="279">
        <v>7</v>
      </c>
      <c r="U31" s="279">
        <v>6</v>
      </c>
      <c r="V31" s="279">
        <v>5</v>
      </c>
      <c r="W31" s="279">
        <v>5</v>
      </c>
      <c r="X31" s="279">
        <v>5</v>
      </c>
      <c r="Y31" s="279">
        <v>4</v>
      </c>
      <c r="Z31" s="279">
        <v>4</v>
      </c>
      <c r="AA31" s="279">
        <v>4</v>
      </c>
      <c r="AB31" s="279">
        <v>4</v>
      </c>
      <c r="AC31" s="279">
        <v>3</v>
      </c>
      <c r="AD31" s="268"/>
    </row>
    <row r="32" spans="1:30" ht="13" x14ac:dyDescent="0.15">
      <c r="A32" s="283">
        <f t="shared" si="0"/>
        <v>16.111111111111111</v>
      </c>
      <c r="B32" s="279">
        <v>61</v>
      </c>
      <c r="C32" s="280"/>
      <c r="D32" s="274">
        <v>120</v>
      </c>
      <c r="E32" s="274">
        <v>90</v>
      </c>
      <c r="F32" s="274">
        <v>62</v>
      </c>
      <c r="G32" s="274">
        <v>46</v>
      </c>
      <c r="H32" s="274">
        <v>37</v>
      </c>
      <c r="I32" s="274">
        <v>32</v>
      </c>
      <c r="J32" s="274">
        <v>28</v>
      </c>
      <c r="K32" s="274">
        <v>25</v>
      </c>
      <c r="L32" s="274">
        <v>22</v>
      </c>
      <c r="M32" s="274">
        <v>17</v>
      </c>
      <c r="N32" s="274">
        <v>14</v>
      </c>
      <c r="O32" s="274">
        <v>12</v>
      </c>
      <c r="P32" s="274">
        <v>10</v>
      </c>
      <c r="Q32" s="274">
        <v>9</v>
      </c>
      <c r="R32" s="274">
        <v>8</v>
      </c>
      <c r="S32" s="274">
        <v>7</v>
      </c>
      <c r="T32" s="279">
        <v>6</v>
      </c>
      <c r="U32" s="279">
        <v>5</v>
      </c>
      <c r="V32" s="279">
        <v>5</v>
      </c>
      <c r="W32" s="279">
        <v>5</v>
      </c>
      <c r="X32" s="279">
        <v>4</v>
      </c>
      <c r="Y32" s="279">
        <v>4</v>
      </c>
      <c r="Z32" s="279">
        <v>4</v>
      </c>
      <c r="AA32" s="279">
        <v>3</v>
      </c>
      <c r="AB32" s="279">
        <v>3</v>
      </c>
      <c r="AC32" s="279">
        <v>3</v>
      </c>
      <c r="AD32" s="268"/>
    </row>
    <row r="33" spans="1:30" ht="13" x14ac:dyDescent="0.15">
      <c r="A33" s="283">
        <f t="shared" si="0"/>
        <v>16.666666666666668</v>
      </c>
      <c r="B33" s="279">
        <v>62</v>
      </c>
      <c r="C33" s="280"/>
      <c r="D33" s="274">
        <v>112</v>
      </c>
      <c r="E33" s="274">
        <v>83</v>
      </c>
      <c r="F33" s="274">
        <v>58</v>
      </c>
      <c r="G33" s="274">
        <v>43</v>
      </c>
      <c r="H33" s="274">
        <v>35</v>
      </c>
      <c r="I33" s="274">
        <v>30</v>
      </c>
      <c r="J33" s="274">
        <v>26</v>
      </c>
      <c r="K33" s="274">
        <v>23</v>
      </c>
      <c r="L33" s="274">
        <v>21</v>
      </c>
      <c r="M33" s="274">
        <v>16</v>
      </c>
      <c r="N33" s="274">
        <v>13</v>
      </c>
      <c r="O33" s="274">
        <v>11</v>
      </c>
      <c r="P33" s="274">
        <v>9</v>
      </c>
      <c r="Q33" s="274">
        <v>8</v>
      </c>
      <c r="R33" s="274">
        <v>8</v>
      </c>
      <c r="S33" s="274">
        <v>6</v>
      </c>
      <c r="T33" s="279">
        <v>6</v>
      </c>
      <c r="U33" s="279">
        <v>5</v>
      </c>
      <c r="V33" s="279">
        <v>5</v>
      </c>
      <c r="W33" s="279">
        <v>4</v>
      </c>
      <c r="X33" s="279">
        <v>4</v>
      </c>
      <c r="Y33" s="279">
        <v>4</v>
      </c>
      <c r="Z33" s="279">
        <v>3</v>
      </c>
      <c r="AA33" s="279">
        <v>3</v>
      </c>
      <c r="AB33" s="279">
        <v>3</v>
      </c>
      <c r="AC33" s="279">
        <v>3</v>
      </c>
      <c r="AD33" s="268"/>
    </row>
    <row r="34" spans="1:30" ht="13" x14ac:dyDescent="0.15">
      <c r="A34" s="283">
        <f t="shared" si="0"/>
        <v>17.222222222222221</v>
      </c>
      <c r="B34" s="279">
        <v>63</v>
      </c>
      <c r="C34" s="280"/>
      <c r="D34" s="274">
        <v>105</v>
      </c>
      <c r="E34" s="274">
        <v>78</v>
      </c>
      <c r="F34" s="274">
        <v>54</v>
      </c>
      <c r="G34" s="274">
        <v>40</v>
      </c>
      <c r="H34" s="274">
        <v>32</v>
      </c>
      <c r="I34" s="274">
        <v>28</v>
      </c>
      <c r="J34" s="274">
        <v>24</v>
      </c>
      <c r="K34" s="274">
        <v>22</v>
      </c>
      <c r="L34" s="274">
        <v>20</v>
      </c>
      <c r="M34" s="274">
        <v>15</v>
      </c>
      <c r="N34" s="274">
        <v>12</v>
      </c>
      <c r="O34" s="274">
        <v>10</v>
      </c>
      <c r="P34" s="274">
        <v>9</v>
      </c>
      <c r="Q34" s="274">
        <v>8</v>
      </c>
      <c r="R34" s="274">
        <v>7</v>
      </c>
      <c r="S34" s="274">
        <v>6</v>
      </c>
      <c r="T34" s="274">
        <v>5</v>
      </c>
      <c r="U34" s="274">
        <v>5</v>
      </c>
      <c r="V34" s="274">
        <v>4</v>
      </c>
      <c r="W34" s="274">
        <v>4</v>
      </c>
      <c r="X34" s="274">
        <v>4</v>
      </c>
      <c r="Y34" s="274">
        <v>3</v>
      </c>
      <c r="Z34" s="274">
        <v>3</v>
      </c>
      <c r="AA34" s="274">
        <v>3</v>
      </c>
      <c r="AB34" s="274">
        <v>3</v>
      </c>
      <c r="AC34" s="274">
        <v>3</v>
      </c>
      <c r="AD34" s="268"/>
    </row>
    <row r="35" spans="1:30" ht="13" x14ac:dyDescent="0.15">
      <c r="A35" s="283">
        <f t="shared" si="0"/>
        <v>17.777777777777779</v>
      </c>
      <c r="B35" s="279">
        <v>64</v>
      </c>
      <c r="C35" s="282">
        <v>162</v>
      </c>
      <c r="D35" s="274">
        <v>98</v>
      </c>
      <c r="E35" s="274">
        <v>73</v>
      </c>
      <c r="F35" s="274">
        <v>50</v>
      </c>
      <c r="G35" s="274">
        <v>37</v>
      </c>
      <c r="H35" s="274">
        <v>30</v>
      </c>
      <c r="I35" s="274">
        <v>26</v>
      </c>
      <c r="J35" s="274">
        <v>23</v>
      </c>
      <c r="K35" s="274">
        <v>20</v>
      </c>
      <c r="L35" s="274">
        <v>18</v>
      </c>
      <c r="M35" s="274">
        <v>14</v>
      </c>
      <c r="N35" s="274">
        <v>11</v>
      </c>
      <c r="O35" s="274">
        <v>9</v>
      </c>
      <c r="P35" s="274">
        <v>8</v>
      </c>
      <c r="Q35" s="274">
        <v>7</v>
      </c>
      <c r="R35" s="274">
        <v>7</v>
      </c>
      <c r="S35" s="274">
        <v>6</v>
      </c>
      <c r="T35" s="274">
        <v>5</v>
      </c>
      <c r="U35" s="274">
        <v>4</v>
      </c>
      <c r="V35" s="274">
        <v>4</v>
      </c>
      <c r="W35" s="274">
        <v>4</v>
      </c>
      <c r="X35" s="274">
        <v>3</v>
      </c>
      <c r="Y35" s="274">
        <v>3</v>
      </c>
      <c r="Z35" s="274">
        <v>3</v>
      </c>
      <c r="AA35" s="274">
        <v>3</v>
      </c>
      <c r="AB35" s="274">
        <v>3</v>
      </c>
      <c r="AC35" s="274">
        <v>3</v>
      </c>
      <c r="AD35" s="268"/>
    </row>
    <row r="36" spans="1:30" ht="13" x14ac:dyDescent="0.15">
      <c r="A36" s="283">
        <f t="shared" si="0"/>
        <v>18.333333333333332</v>
      </c>
      <c r="B36" s="279">
        <v>65</v>
      </c>
      <c r="C36" s="282">
        <v>152</v>
      </c>
      <c r="D36" s="274">
        <v>92</v>
      </c>
      <c r="E36" s="274">
        <v>68</v>
      </c>
      <c r="F36" s="274">
        <v>47</v>
      </c>
      <c r="G36" s="274">
        <v>35</v>
      </c>
      <c r="H36" s="274">
        <v>28</v>
      </c>
      <c r="I36" s="274">
        <v>24</v>
      </c>
      <c r="J36" s="274">
        <v>21</v>
      </c>
      <c r="K36" s="274">
        <v>19</v>
      </c>
      <c r="L36" s="274">
        <v>17</v>
      </c>
      <c r="M36" s="274">
        <v>13</v>
      </c>
      <c r="N36" s="274">
        <v>10</v>
      </c>
      <c r="O36" s="274">
        <v>9</v>
      </c>
      <c r="P36" s="274">
        <v>8</v>
      </c>
      <c r="Q36" s="274">
        <v>7</v>
      </c>
      <c r="R36" s="274">
        <v>6</v>
      </c>
      <c r="S36" s="274">
        <v>5</v>
      </c>
      <c r="T36" s="274">
        <v>5</v>
      </c>
      <c r="U36" s="274">
        <v>4</v>
      </c>
      <c r="V36" s="274">
        <v>4</v>
      </c>
      <c r="W36" s="274">
        <v>3</v>
      </c>
      <c r="X36" s="274">
        <v>3</v>
      </c>
      <c r="Y36" s="274">
        <v>3</v>
      </c>
      <c r="Z36" s="274">
        <v>3</v>
      </c>
      <c r="AA36" s="274">
        <v>3</v>
      </c>
      <c r="AB36" s="274">
        <v>3</v>
      </c>
      <c r="AC36" s="274">
        <v>2</v>
      </c>
      <c r="AD36" s="268"/>
    </row>
    <row r="37" spans="1:30" ht="13" x14ac:dyDescent="0.15">
      <c r="A37" s="283">
        <f t="shared" si="0"/>
        <v>18.888888888888889</v>
      </c>
      <c r="B37" s="279">
        <v>66</v>
      </c>
      <c r="C37" s="282">
        <v>142</v>
      </c>
      <c r="D37" s="274">
        <v>86</v>
      </c>
      <c r="E37" s="274">
        <v>64</v>
      </c>
      <c r="F37" s="274">
        <v>44</v>
      </c>
      <c r="G37" s="274">
        <v>33</v>
      </c>
      <c r="H37" s="274">
        <v>27</v>
      </c>
      <c r="I37" s="274">
        <v>23</v>
      </c>
      <c r="J37" s="274">
        <v>20</v>
      </c>
      <c r="K37" s="274">
        <v>18</v>
      </c>
      <c r="L37" s="274">
        <v>16</v>
      </c>
      <c r="M37" s="274">
        <v>12</v>
      </c>
      <c r="N37" s="274">
        <v>10</v>
      </c>
      <c r="O37" s="274">
        <v>8</v>
      </c>
      <c r="P37" s="274">
        <v>7</v>
      </c>
      <c r="Q37" s="274">
        <v>6</v>
      </c>
      <c r="R37" s="274">
        <v>6</v>
      </c>
      <c r="S37" s="274">
        <v>5</v>
      </c>
      <c r="T37" s="274">
        <v>4</v>
      </c>
      <c r="U37" s="274">
        <v>4</v>
      </c>
      <c r="V37" s="274">
        <v>4</v>
      </c>
      <c r="W37" s="274">
        <v>3</v>
      </c>
      <c r="X37" s="274">
        <v>3</v>
      </c>
      <c r="Y37" s="274">
        <v>3</v>
      </c>
      <c r="Z37" s="274">
        <v>3</v>
      </c>
      <c r="AA37" s="274">
        <v>2</v>
      </c>
      <c r="AB37" s="274">
        <v>2</v>
      </c>
      <c r="AC37" s="274">
        <v>2</v>
      </c>
      <c r="AD37" s="268"/>
    </row>
    <row r="38" spans="1:30" ht="13" x14ac:dyDescent="0.15">
      <c r="A38" s="283">
        <f t="shared" ref="A38:A66" si="1">(B38-32)/1.8</f>
        <v>19.444444444444443</v>
      </c>
      <c r="B38" s="279">
        <v>67</v>
      </c>
      <c r="C38" s="282">
        <v>133</v>
      </c>
      <c r="D38" s="274">
        <v>80</v>
      </c>
      <c r="E38" s="274">
        <v>60</v>
      </c>
      <c r="F38" s="274">
        <v>41</v>
      </c>
      <c r="G38" s="274">
        <v>31</v>
      </c>
      <c r="H38" s="274">
        <v>25</v>
      </c>
      <c r="I38" s="274">
        <v>21</v>
      </c>
      <c r="J38" s="274">
        <v>19</v>
      </c>
      <c r="K38" s="274">
        <v>17</v>
      </c>
      <c r="L38" s="274">
        <v>15</v>
      </c>
      <c r="M38" s="274">
        <v>11</v>
      </c>
      <c r="N38" s="274">
        <v>9</v>
      </c>
      <c r="O38" s="274">
        <v>8</v>
      </c>
      <c r="P38" s="274">
        <v>7</v>
      </c>
      <c r="Q38" s="274">
        <v>6</v>
      </c>
      <c r="R38" s="274">
        <v>5</v>
      </c>
      <c r="S38" s="274">
        <v>5</v>
      </c>
      <c r="T38" s="274">
        <v>4</v>
      </c>
      <c r="U38" s="274">
        <v>4</v>
      </c>
      <c r="V38" s="274">
        <v>3</v>
      </c>
      <c r="W38" s="274">
        <v>3</v>
      </c>
      <c r="X38" s="274">
        <v>3</v>
      </c>
      <c r="Y38" s="274">
        <v>3</v>
      </c>
      <c r="Z38" s="274">
        <v>2</v>
      </c>
      <c r="AA38" s="274">
        <v>2</v>
      </c>
      <c r="AB38" s="274">
        <v>2</v>
      </c>
      <c r="AC38" s="274">
        <v>2</v>
      </c>
      <c r="AD38" s="268"/>
    </row>
    <row r="39" spans="1:30" ht="13" x14ac:dyDescent="0.15">
      <c r="A39" s="283">
        <f t="shared" si="1"/>
        <v>20</v>
      </c>
      <c r="B39" s="279">
        <v>68</v>
      </c>
      <c r="C39" s="282">
        <v>120</v>
      </c>
      <c r="D39" s="274">
        <v>73</v>
      </c>
      <c r="E39" s="274">
        <v>54</v>
      </c>
      <c r="F39" s="274">
        <v>37</v>
      </c>
      <c r="G39" s="274">
        <v>28</v>
      </c>
      <c r="H39" s="274">
        <v>22</v>
      </c>
      <c r="I39" s="274">
        <v>19</v>
      </c>
      <c r="J39" s="274">
        <v>17</v>
      </c>
      <c r="K39" s="274">
        <v>15</v>
      </c>
      <c r="L39" s="274">
        <v>14</v>
      </c>
      <c r="M39" s="274">
        <v>10</v>
      </c>
      <c r="N39" s="274">
        <v>8</v>
      </c>
      <c r="O39" s="274">
        <v>7</v>
      </c>
      <c r="P39" s="274">
        <v>6</v>
      </c>
      <c r="Q39" s="274">
        <v>5</v>
      </c>
      <c r="R39" s="274">
        <v>5</v>
      </c>
      <c r="S39" s="274">
        <v>4</v>
      </c>
      <c r="T39" s="274">
        <v>4</v>
      </c>
      <c r="U39" s="274">
        <v>3</v>
      </c>
      <c r="V39" s="274">
        <v>3</v>
      </c>
      <c r="W39" s="274">
        <v>3</v>
      </c>
      <c r="X39" s="274">
        <v>3</v>
      </c>
      <c r="Y39" s="274">
        <v>2</v>
      </c>
      <c r="Z39" s="274">
        <v>2</v>
      </c>
      <c r="AA39" s="274">
        <v>2</v>
      </c>
      <c r="AB39" s="274">
        <v>2</v>
      </c>
      <c r="AC39" s="274">
        <v>2</v>
      </c>
      <c r="AD39" s="268"/>
    </row>
    <row r="40" spans="1:30" ht="13" x14ac:dyDescent="0.15">
      <c r="A40" s="283">
        <f t="shared" si="1"/>
        <v>20.555555555555554</v>
      </c>
      <c r="B40" s="279">
        <v>69</v>
      </c>
      <c r="C40" s="282">
        <v>109</v>
      </c>
      <c r="D40" s="274">
        <v>66</v>
      </c>
      <c r="E40" s="274">
        <v>49</v>
      </c>
      <c r="F40" s="274">
        <v>34</v>
      </c>
      <c r="G40" s="274">
        <v>25</v>
      </c>
      <c r="H40" s="274">
        <v>20</v>
      </c>
      <c r="I40" s="274">
        <v>17</v>
      </c>
      <c r="J40" s="274">
        <v>15</v>
      </c>
      <c r="K40" s="274">
        <v>14</v>
      </c>
      <c r="L40" s="274">
        <v>12</v>
      </c>
      <c r="M40" s="274">
        <v>9</v>
      </c>
      <c r="N40" s="274">
        <v>7</v>
      </c>
      <c r="O40" s="274">
        <v>6</v>
      </c>
      <c r="P40" s="274">
        <v>6</v>
      </c>
      <c r="Q40" s="274">
        <v>5</v>
      </c>
      <c r="R40" s="274">
        <v>4</v>
      </c>
      <c r="S40" s="274">
        <v>4</v>
      </c>
      <c r="T40" s="274">
        <v>3</v>
      </c>
      <c r="U40" s="274">
        <v>3</v>
      </c>
      <c r="V40" s="274">
        <v>3</v>
      </c>
      <c r="W40" s="274">
        <v>2</v>
      </c>
      <c r="X40" s="274">
        <v>2</v>
      </c>
      <c r="Y40" s="274">
        <v>2</v>
      </c>
      <c r="Z40" s="274">
        <v>2</v>
      </c>
      <c r="AA40" s="274">
        <v>2</v>
      </c>
      <c r="AB40" s="274">
        <v>2</v>
      </c>
      <c r="AC40" s="274">
        <v>2</v>
      </c>
      <c r="AD40" s="268"/>
    </row>
    <row r="41" spans="1:30" ht="13" x14ac:dyDescent="0.15">
      <c r="A41" s="283">
        <f t="shared" si="1"/>
        <v>21.111111111111111</v>
      </c>
      <c r="B41" s="279">
        <v>70</v>
      </c>
      <c r="C41" s="282">
        <v>99</v>
      </c>
      <c r="D41" s="274">
        <v>60</v>
      </c>
      <c r="E41" s="274">
        <v>45</v>
      </c>
      <c r="F41" s="274">
        <v>31</v>
      </c>
      <c r="G41" s="274">
        <v>23</v>
      </c>
      <c r="H41" s="274">
        <v>19</v>
      </c>
      <c r="I41" s="274">
        <v>16</v>
      </c>
      <c r="J41" s="274">
        <v>14</v>
      </c>
      <c r="K41" s="274">
        <v>12</v>
      </c>
      <c r="L41" s="274">
        <v>11</v>
      </c>
      <c r="M41" s="274">
        <v>8</v>
      </c>
      <c r="N41" s="274">
        <v>7</v>
      </c>
      <c r="O41" s="274">
        <v>6</v>
      </c>
      <c r="P41" s="274">
        <v>5</v>
      </c>
      <c r="Q41" s="274">
        <v>4</v>
      </c>
      <c r="R41" s="274">
        <v>4</v>
      </c>
      <c r="S41" s="274">
        <v>3</v>
      </c>
      <c r="T41" s="274">
        <v>3</v>
      </c>
      <c r="U41" s="274">
        <v>3</v>
      </c>
      <c r="V41" s="274">
        <v>2</v>
      </c>
      <c r="W41" s="274">
        <v>2</v>
      </c>
      <c r="X41" s="274">
        <v>2</v>
      </c>
      <c r="Y41" s="274">
        <v>2</v>
      </c>
      <c r="Z41" s="274">
        <v>2</v>
      </c>
      <c r="AA41" s="274">
        <v>2</v>
      </c>
      <c r="AB41" s="274">
        <v>2</v>
      </c>
      <c r="AC41" s="274">
        <v>2</v>
      </c>
      <c r="AD41" s="268"/>
    </row>
    <row r="42" spans="1:30" ht="13" x14ac:dyDescent="0.15">
      <c r="A42" s="283">
        <f t="shared" si="1"/>
        <v>21.666666666666668</v>
      </c>
      <c r="B42" s="279">
        <v>71</v>
      </c>
      <c r="C42" s="282">
        <v>90</v>
      </c>
      <c r="D42" s="274">
        <v>55</v>
      </c>
      <c r="E42" s="274">
        <v>41</v>
      </c>
      <c r="F42" s="274">
        <v>28</v>
      </c>
      <c r="G42" s="274">
        <v>21</v>
      </c>
      <c r="H42" s="274">
        <v>17</v>
      </c>
      <c r="I42" s="274">
        <v>14</v>
      </c>
      <c r="J42" s="274">
        <v>13</v>
      </c>
      <c r="K42" s="274">
        <v>11</v>
      </c>
      <c r="L42" s="274">
        <v>10</v>
      </c>
      <c r="M42" s="274">
        <v>8</v>
      </c>
      <c r="N42" s="274">
        <v>6</v>
      </c>
      <c r="O42" s="274">
        <v>5</v>
      </c>
      <c r="P42" s="274">
        <v>5</v>
      </c>
      <c r="Q42" s="274">
        <v>4</v>
      </c>
      <c r="R42" s="274">
        <v>4</v>
      </c>
      <c r="S42" s="274">
        <v>3</v>
      </c>
      <c r="T42" s="274">
        <v>3</v>
      </c>
      <c r="U42" s="274">
        <v>2</v>
      </c>
      <c r="V42" s="274">
        <v>2</v>
      </c>
      <c r="W42" s="274">
        <v>2</v>
      </c>
      <c r="X42" s="274">
        <v>2</v>
      </c>
      <c r="Y42" s="274">
        <v>2</v>
      </c>
      <c r="Z42" s="274">
        <v>2</v>
      </c>
      <c r="AA42" s="274">
        <v>2</v>
      </c>
      <c r="AB42" s="274">
        <v>1</v>
      </c>
      <c r="AC42" s="274">
        <v>1</v>
      </c>
      <c r="AD42" s="268"/>
    </row>
    <row r="43" spans="1:30" ht="13" x14ac:dyDescent="0.15">
      <c r="A43" s="283">
        <f t="shared" si="1"/>
        <v>22.222222222222221</v>
      </c>
      <c r="B43" s="279">
        <v>72</v>
      </c>
      <c r="C43" s="282">
        <v>83</v>
      </c>
      <c r="D43" s="274">
        <v>50</v>
      </c>
      <c r="E43" s="274">
        <v>37</v>
      </c>
      <c r="F43" s="274">
        <v>26</v>
      </c>
      <c r="G43" s="274">
        <v>19</v>
      </c>
      <c r="H43" s="274">
        <v>15</v>
      </c>
      <c r="I43" s="274">
        <v>13</v>
      </c>
      <c r="J43" s="274">
        <v>12</v>
      </c>
      <c r="K43" s="274">
        <v>10</v>
      </c>
      <c r="L43" s="274">
        <v>9</v>
      </c>
      <c r="M43" s="274">
        <v>7</v>
      </c>
      <c r="N43" s="274">
        <v>6</v>
      </c>
      <c r="O43" s="274">
        <v>5</v>
      </c>
      <c r="P43" s="274">
        <v>4</v>
      </c>
      <c r="Q43" s="274">
        <v>4</v>
      </c>
      <c r="R43" s="274">
        <v>3</v>
      </c>
      <c r="S43" s="274">
        <v>3</v>
      </c>
      <c r="T43" s="274">
        <v>3</v>
      </c>
      <c r="U43" s="274">
        <v>2</v>
      </c>
      <c r="V43" s="274">
        <v>2</v>
      </c>
      <c r="W43" s="274">
        <v>2</v>
      </c>
      <c r="X43" s="274">
        <v>2</v>
      </c>
      <c r="Y43" s="274">
        <v>2</v>
      </c>
      <c r="Z43" s="274">
        <v>2</v>
      </c>
      <c r="AA43" s="274">
        <v>1</v>
      </c>
      <c r="AB43" s="274">
        <v>1</v>
      </c>
      <c r="AC43" s="274">
        <v>1</v>
      </c>
      <c r="AD43" s="268"/>
    </row>
    <row r="44" spans="1:30" ht="13" x14ac:dyDescent="0.15">
      <c r="A44" s="283">
        <f t="shared" si="1"/>
        <v>22.777777777777779</v>
      </c>
      <c r="B44" s="279">
        <v>73</v>
      </c>
      <c r="C44" s="282">
        <v>76</v>
      </c>
      <c r="D44" s="274">
        <v>46</v>
      </c>
      <c r="E44" s="274">
        <v>34</v>
      </c>
      <c r="F44" s="274">
        <v>24</v>
      </c>
      <c r="G44" s="274">
        <v>18</v>
      </c>
      <c r="H44" s="274">
        <v>14</v>
      </c>
      <c r="I44" s="274">
        <v>12</v>
      </c>
      <c r="J44" s="274">
        <v>11</v>
      </c>
      <c r="K44" s="274">
        <v>9</v>
      </c>
      <c r="L44" s="274">
        <v>9</v>
      </c>
      <c r="M44" s="274">
        <v>6</v>
      </c>
      <c r="N44" s="274">
        <v>5</v>
      </c>
      <c r="O44" s="274">
        <v>4</v>
      </c>
      <c r="P44" s="274">
        <v>4</v>
      </c>
      <c r="Q44" s="274">
        <v>3</v>
      </c>
      <c r="R44" s="274">
        <v>3</v>
      </c>
      <c r="S44" s="274">
        <v>3</v>
      </c>
      <c r="T44" s="274">
        <v>2</v>
      </c>
      <c r="U44" s="274">
        <v>2</v>
      </c>
      <c r="V44" s="274">
        <v>2</v>
      </c>
      <c r="W44" s="274">
        <v>2</v>
      </c>
      <c r="X44" s="274">
        <v>2</v>
      </c>
      <c r="Y44" s="274">
        <v>1</v>
      </c>
      <c r="Z44" s="274">
        <v>1</v>
      </c>
      <c r="AA44" s="274">
        <v>1</v>
      </c>
      <c r="AB44" s="274">
        <v>1</v>
      </c>
      <c r="AC44" s="274">
        <v>1</v>
      </c>
      <c r="AD44" s="268"/>
    </row>
    <row r="45" spans="1:30" ht="13" x14ac:dyDescent="0.15">
      <c r="A45" s="283">
        <f t="shared" si="1"/>
        <v>23.333333333333332</v>
      </c>
      <c r="B45" s="279">
        <v>74</v>
      </c>
      <c r="C45" s="282">
        <v>70</v>
      </c>
      <c r="D45" s="274">
        <v>42</v>
      </c>
      <c r="E45" s="274">
        <v>32</v>
      </c>
      <c r="F45" s="274">
        <v>22</v>
      </c>
      <c r="G45" s="274">
        <v>16</v>
      </c>
      <c r="H45" s="274">
        <v>13</v>
      </c>
      <c r="I45" s="274">
        <v>11</v>
      </c>
      <c r="J45" s="274">
        <v>10</v>
      </c>
      <c r="K45" s="274">
        <v>9</v>
      </c>
      <c r="L45" s="274">
        <v>8</v>
      </c>
      <c r="M45" s="274">
        <v>6</v>
      </c>
      <c r="N45" s="274">
        <v>5</v>
      </c>
      <c r="O45" s="274">
        <v>4</v>
      </c>
      <c r="P45" s="274">
        <v>4</v>
      </c>
      <c r="Q45" s="274">
        <v>3</v>
      </c>
      <c r="R45" s="274">
        <v>3</v>
      </c>
      <c r="S45" s="274">
        <v>2</v>
      </c>
      <c r="T45" s="274">
        <v>2</v>
      </c>
      <c r="U45" s="274">
        <v>2</v>
      </c>
      <c r="V45" s="274">
        <v>2</v>
      </c>
      <c r="W45" s="274">
        <v>2</v>
      </c>
      <c r="X45" s="274">
        <v>1</v>
      </c>
      <c r="Y45" s="274">
        <v>1</v>
      </c>
      <c r="Z45" s="274">
        <v>1</v>
      </c>
      <c r="AA45" s="274">
        <v>1</v>
      </c>
      <c r="AB45" s="274">
        <v>1</v>
      </c>
      <c r="AC45" s="274">
        <v>1</v>
      </c>
      <c r="AD45" s="268"/>
    </row>
    <row r="46" spans="1:30" ht="13" x14ac:dyDescent="0.15">
      <c r="A46" s="283">
        <f t="shared" si="1"/>
        <v>23.888888888888889</v>
      </c>
      <c r="B46" s="279">
        <v>75</v>
      </c>
      <c r="C46" s="282">
        <v>65</v>
      </c>
      <c r="D46" s="274">
        <v>39</v>
      </c>
      <c r="E46" s="274">
        <v>29</v>
      </c>
      <c r="F46" s="274">
        <v>20</v>
      </c>
      <c r="G46" s="274">
        <v>15</v>
      </c>
      <c r="H46" s="274">
        <v>12</v>
      </c>
      <c r="I46" s="274">
        <v>10</v>
      </c>
      <c r="J46" s="274">
        <v>9</v>
      </c>
      <c r="K46" s="274">
        <v>8</v>
      </c>
      <c r="L46" s="274">
        <v>7</v>
      </c>
      <c r="M46" s="274">
        <v>5</v>
      </c>
      <c r="N46" s="274">
        <v>4</v>
      </c>
      <c r="O46" s="274">
        <v>4</v>
      </c>
      <c r="P46" s="274">
        <v>3</v>
      </c>
      <c r="Q46" s="274">
        <v>3</v>
      </c>
      <c r="R46" s="274">
        <v>3</v>
      </c>
      <c r="S46" s="274">
        <v>2</v>
      </c>
      <c r="T46" s="274">
        <v>2</v>
      </c>
      <c r="U46" s="274">
        <v>2</v>
      </c>
      <c r="V46" s="274">
        <v>2</v>
      </c>
      <c r="W46" s="274">
        <v>1</v>
      </c>
      <c r="X46" s="274">
        <v>1</v>
      </c>
      <c r="Y46" s="274">
        <v>1</v>
      </c>
      <c r="Z46" s="274">
        <v>1</v>
      </c>
      <c r="AA46" s="274">
        <v>1</v>
      </c>
      <c r="AB46" s="274">
        <v>1</v>
      </c>
      <c r="AC46" s="274">
        <v>1</v>
      </c>
      <c r="AD46" s="268"/>
    </row>
    <row r="47" spans="1:30" ht="13" x14ac:dyDescent="0.15">
      <c r="A47" s="283">
        <f t="shared" si="1"/>
        <v>24.444444444444443</v>
      </c>
      <c r="B47" s="279">
        <v>76</v>
      </c>
      <c r="C47" s="282">
        <v>60</v>
      </c>
      <c r="D47" s="274">
        <v>36</v>
      </c>
      <c r="E47" s="274">
        <v>27</v>
      </c>
      <c r="F47" s="274">
        <v>19</v>
      </c>
      <c r="G47" s="274">
        <v>14</v>
      </c>
      <c r="H47" s="274">
        <v>11</v>
      </c>
      <c r="I47" s="274">
        <v>10</v>
      </c>
      <c r="J47" s="274">
        <v>8</v>
      </c>
      <c r="K47" s="274">
        <v>7</v>
      </c>
      <c r="L47" s="274">
        <v>7</v>
      </c>
      <c r="M47" s="274">
        <v>5</v>
      </c>
      <c r="N47" s="274">
        <v>4</v>
      </c>
      <c r="O47" s="274">
        <v>3</v>
      </c>
      <c r="P47" s="274">
        <v>3</v>
      </c>
      <c r="Q47" s="274">
        <v>3</v>
      </c>
      <c r="R47" s="274">
        <v>2</v>
      </c>
      <c r="S47" s="274">
        <v>2</v>
      </c>
      <c r="T47" s="274">
        <v>2</v>
      </c>
      <c r="U47" s="274">
        <v>2</v>
      </c>
      <c r="V47" s="274">
        <v>1</v>
      </c>
      <c r="W47" s="274">
        <v>1</v>
      </c>
      <c r="X47" s="274">
        <v>1</v>
      </c>
      <c r="Y47" s="274">
        <v>1</v>
      </c>
      <c r="Z47" s="274">
        <v>1</v>
      </c>
      <c r="AA47" s="274">
        <v>1</v>
      </c>
      <c r="AB47" s="274">
        <v>1</v>
      </c>
      <c r="AC47" s="274">
        <v>1</v>
      </c>
      <c r="AD47" s="268"/>
    </row>
    <row r="48" spans="1:30" ht="13" x14ac:dyDescent="0.15">
      <c r="A48" s="283">
        <f t="shared" si="1"/>
        <v>25</v>
      </c>
      <c r="B48" s="279">
        <v>77</v>
      </c>
      <c r="C48" s="282">
        <v>56</v>
      </c>
      <c r="D48" s="274">
        <v>34</v>
      </c>
      <c r="E48" s="274">
        <v>25</v>
      </c>
      <c r="F48" s="274">
        <v>17</v>
      </c>
      <c r="G48" s="274">
        <v>13</v>
      </c>
      <c r="H48" s="274">
        <v>10</v>
      </c>
      <c r="I48" s="274">
        <v>9</v>
      </c>
      <c r="J48" s="274">
        <v>8</v>
      </c>
      <c r="K48" s="274">
        <v>7</v>
      </c>
      <c r="L48" s="274">
        <v>6</v>
      </c>
      <c r="M48" s="274">
        <v>5</v>
      </c>
      <c r="N48" s="274">
        <v>4</v>
      </c>
      <c r="O48" s="274">
        <v>3</v>
      </c>
      <c r="P48" s="274">
        <v>3</v>
      </c>
      <c r="Q48" s="274">
        <v>3</v>
      </c>
      <c r="R48" s="274">
        <v>2</v>
      </c>
      <c r="S48" s="274">
        <v>2</v>
      </c>
      <c r="T48" s="274">
        <v>2</v>
      </c>
      <c r="U48" s="274">
        <v>2</v>
      </c>
      <c r="V48" s="274">
        <v>1</v>
      </c>
      <c r="W48" s="274">
        <v>1</v>
      </c>
      <c r="X48" s="274">
        <v>1</v>
      </c>
      <c r="Y48" s="274">
        <v>1</v>
      </c>
      <c r="Z48" s="274">
        <v>1</v>
      </c>
      <c r="AA48" s="274">
        <v>1</v>
      </c>
      <c r="AB48" s="274">
        <v>1</v>
      </c>
      <c r="AC48" s="274">
        <v>1</v>
      </c>
      <c r="AD48" s="268"/>
    </row>
    <row r="49" spans="1:30" ht="13" x14ac:dyDescent="0.15">
      <c r="A49" s="283">
        <f t="shared" si="1"/>
        <v>25.555555555555554</v>
      </c>
      <c r="B49" s="279">
        <v>78</v>
      </c>
      <c r="C49" s="282">
        <v>52</v>
      </c>
      <c r="D49" s="274">
        <v>31</v>
      </c>
      <c r="E49" s="274">
        <v>23</v>
      </c>
      <c r="F49" s="274">
        <v>16</v>
      </c>
      <c r="G49" s="274">
        <v>12</v>
      </c>
      <c r="H49" s="274">
        <v>10</v>
      </c>
      <c r="I49" s="274">
        <v>8</v>
      </c>
      <c r="J49" s="274">
        <v>7</v>
      </c>
      <c r="K49" s="274">
        <v>6</v>
      </c>
      <c r="L49" s="274">
        <v>6</v>
      </c>
      <c r="M49" s="274">
        <v>4</v>
      </c>
      <c r="N49" s="274">
        <v>4</v>
      </c>
      <c r="O49" s="274">
        <v>3</v>
      </c>
      <c r="P49" s="274">
        <v>3</v>
      </c>
      <c r="Q49" s="274">
        <v>2</v>
      </c>
      <c r="R49" s="274">
        <v>2</v>
      </c>
      <c r="S49" s="274">
        <v>2</v>
      </c>
      <c r="T49" s="274">
        <v>2</v>
      </c>
      <c r="U49" s="274">
        <v>1</v>
      </c>
      <c r="V49" s="274">
        <v>1</v>
      </c>
      <c r="W49" s="274">
        <v>1</v>
      </c>
      <c r="X49" s="274">
        <v>1</v>
      </c>
      <c r="Y49" s="274">
        <v>1</v>
      </c>
      <c r="Z49" s="274">
        <v>1</v>
      </c>
      <c r="AA49" s="274">
        <v>1</v>
      </c>
      <c r="AB49" s="274">
        <v>1</v>
      </c>
      <c r="AC49" s="274">
        <v>1</v>
      </c>
      <c r="AD49" s="268"/>
    </row>
    <row r="50" spans="1:30" ht="13" x14ac:dyDescent="0.15">
      <c r="A50" s="283">
        <f t="shared" si="1"/>
        <v>26.111111111111111</v>
      </c>
      <c r="B50" s="279">
        <v>79</v>
      </c>
      <c r="C50" s="282">
        <v>48</v>
      </c>
      <c r="D50" s="274">
        <v>29</v>
      </c>
      <c r="E50" s="274">
        <v>22</v>
      </c>
      <c r="F50" s="274">
        <v>15</v>
      </c>
      <c r="G50" s="274">
        <v>11</v>
      </c>
      <c r="H50" s="274">
        <v>9</v>
      </c>
      <c r="I50" s="274">
        <v>8</v>
      </c>
      <c r="J50" s="274">
        <v>7</v>
      </c>
      <c r="K50" s="274">
        <v>6</v>
      </c>
      <c r="L50" s="274">
        <v>5</v>
      </c>
      <c r="M50" s="274">
        <v>4</v>
      </c>
      <c r="N50" s="274">
        <v>3</v>
      </c>
      <c r="O50" s="274">
        <v>3</v>
      </c>
      <c r="P50" s="274">
        <v>2</v>
      </c>
      <c r="Q50" s="274">
        <v>2</v>
      </c>
      <c r="R50" s="274">
        <v>2</v>
      </c>
      <c r="S50" s="274">
        <v>2</v>
      </c>
      <c r="T50" s="274">
        <v>1</v>
      </c>
      <c r="U50" s="274">
        <v>1</v>
      </c>
      <c r="V50" s="274">
        <v>1</v>
      </c>
      <c r="W50" s="274">
        <v>1</v>
      </c>
      <c r="X50" s="274">
        <v>1</v>
      </c>
      <c r="Y50" s="274">
        <v>1</v>
      </c>
      <c r="Z50" s="274">
        <v>1</v>
      </c>
      <c r="AA50" s="274">
        <v>1</v>
      </c>
      <c r="AB50" s="274">
        <v>1</v>
      </c>
      <c r="AC50" s="274">
        <v>1</v>
      </c>
      <c r="AD50" s="268"/>
    </row>
    <row r="51" spans="1:30" ht="13" x14ac:dyDescent="0.15">
      <c r="A51" s="283">
        <f t="shared" si="1"/>
        <v>26.666666666666664</v>
      </c>
      <c r="B51" s="279">
        <v>80</v>
      </c>
      <c r="C51" s="282">
        <v>45</v>
      </c>
      <c r="D51" s="274">
        <v>27</v>
      </c>
      <c r="E51" s="274">
        <v>20</v>
      </c>
      <c r="F51" s="274">
        <v>14</v>
      </c>
      <c r="G51" s="274">
        <v>10</v>
      </c>
      <c r="H51" s="274">
        <v>8</v>
      </c>
      <c r="I51" s="274">
        <v>7</v>
      </c>
      <c r="J51" s="274">
        <v>6</v>
      </c>
      <c r="K51" s="274">
        <v>6</v>
      </c>
      <c r="L51" s="274">
        <v>5</v>
      </c>
      <c r="M51" s="274">
        <v>4</v>
      </c>
      <c r="N51" s="274">
        <v>3</v>
      </c>
      <c r="O51" s="274">
        <v>3</v>
      </c>
      <c r="P51" s="274">
        <v>2</v>
      </c>
      <c r="Q51" s="274">
        <v>2</v>
      </c>
      <c r="R51" s="274">
        <v>2</v>
      </c>
      <c r="S51" s="274">
        <v>2</v>
      </c>
      <c r="T51" s="274">
        <v>1</v>
      </c>
      <c r="U51" s="274">
        <v>1</v>
      </c>
      <c r="V51" s="274">
        <v>1</v>
      </c>
      <c r="W51" s="274">
        <v>1</v>
      </c>
      <c r="X51" s="274">
        <v>1</v>
      </c>
      <c r="Y51" s="274">
        <v>1</v>
      </c>
      <c r="Z51" s="274">
        <v>1</v>
      </c>
      <c r="AA51" s="274">
        <v>1</v>
      </c>
      <c r="AB51" s="274">
        <v>1</v>
      </c>
      <c r="AC51" s="274">
        <v>1</v>
      </c>
      <c r="AD51" s="268"/>
    </row>
    <row r="52" spans="1:30" ht="13" x14ac:dyDescent="0.15">
      <c r="A52" s="283">
        <f t="shared" si="1"/>
        <v>27.222222222222221</v>
      </c>
      <c r="B52" s="279">
        <v>81</v>
      </c>
      <c r="C52" s="282">
        <v>42</v>
      </c>
      <c r="D52" s="274">
        <v>26</v>
      </c>
      <c r="E52" s="274">
        <v>19</v>
      </c>
      <c r="F52" s="274">
        <v>13</v>
      </c>
      <c r="G52" s="274">
        <v>10</v>
      </c>
      <c r="H52" s="274">
        <v>8</v>
      </c>
      <c r="I52" s="274">
        <v>7</v>
      </c>
      <c r="J52" s="274">
        <v>6</v>
      </c>
      <c r="K52" s="274">
        <v>5</v>
      </c>
      <c r="L52" s="274">
        <v>5</v>
      </c>
      <c r="M52" s="274">
        <v>4</v>
      </c>
      <c r="N52" s="274">
        <v>3</v>
      </c>
      <c r="O52" s="274">
        <v>2</v>
      </c>
      <c r="P52" s="274">
        <v>2</v>
      </c>
      <c r="Q52" s="274">
        <v>2</v>
      </c>
      <c r="R52" s="274">
        <v>2</v>
      </c>
      <c r="S52" s="274">
        <v>2</v>
      </c>
      <c r="T52" s="268"/>
      <c r="U52" s="268"/>
      <c r="V52" s="268"/>
      <c r="W52" s="268"/>
      <c r="X52" s="268"/>
      <c r="Y52" s="268"/>
      <c r="Z52" s="268"/>
      <c r="AA52" s="268"/>
      <c r="AB52" s="268"/>
      <c r="AC52" s="268"/>
      <c r="AD52" s="268"/>
    </row>
    <row r="53" spans="1:30" ht="13" x14ac:dyDescent="0.15">
      <c r="A53" s="283">
        <f t="shared" si="1"/>
        <v>27.777777777777779</v>
      </c>
      <c r="B53" s="279">
        <v>82</v>
      </c>
      <c r="C53" s="282">
        <v>40</v>
      </c>
      <c r="D53" s="274">
        <v>24</v>
      </c>
      <c r="E53" s="274">
        <v>18</v>
      </c>
      <c r="F53" s="274">
        <v>12</v>
      </c>
      <c r="G53" s="274">
        <v>9</v>
      </c>
      <c r="H53" s="274">
        <v>7</v>
      </c>
      <c r="I53" s="274">
        <v>6</v>
      </c>
      <c r="J53" s="274">
        <v>6</v>
      </c>
      <c r="K53" s="274">
        <v>5</v>
      </c>
      <c r="L53" s="274">
        <v>5</v>
      </c>
      <c r="M53" s="274">
        <v>3</v>
      </c>
      <c r="N53" s="274">
        <v>3</v>
      </c>
      <c r="O53" s="274">
        <v>2</v>
      </c>
      <c r="P53" s="274">
        <v>2</v>
      </c>
      <c r="Q53" s="274">
        <v>2</v>
      </c>
      <c r="R53" s="274">
        <v>2</v>
      </c>
      <c r="S53" s="274">
        <v>2</v>
      </c>
      <c r="T53" s="268"/>
      <c r="U53" s="268"/>
      <c r="V53" s="268"/>
      <c r="W53" s="268"/>
      <c r="X53" s="268"/>
      <c r="Y53" s="268"/>
      <c r="Z53" s="268"/>
      <c r="AA53" s="268"/>
      <c r="AB53" s="268"/>
      <c r="AC53" s="268"/>
      <c r="AD53" s="268"/>
    </row>
    <row r="54" spans="1:30" ht="13" x14ac:dyDescent="0.15">
      <c r="A54" s="283">
        <f t="shared" si="1"/>
        <v>28.333333333333332</v>
      </c>
      <c r="B54" s="279">
        <v>83</v>
      </c>
      <c r="C54" s="282">
        <v>38</v>
      </c>
      <c r="D54" s="274">
        <v>23</v>
      </c>
      <c r="E54" s="274">
        <v>17</v>
      </c>
      <c r="F54" s="274">
        <v>12</v>
      </c>
      <c r="G54" s="274">
        <v>9</v>
      </c>
      <c r="H54" s="274">
        <v>7</v>
      </c>
      <c r="I54" s="274">
        <v>6</v>
      </c>
      <c r="J54" s="274">
        <v>5</v>
      </c>
      <c r="K54" s="274">
        <v>5</v>
      </c>
      <c r="L54" s="274">
        <v>4</v>
      </c>
      <c r="M54" s="274">
        <v>3</v>
      </c>
      <c r="N54" s="274">
        <v>3</v>
      </c>
      <c r="O54" s="274">
        <v>2</v>
      </c>
      <c r="P54" s="274">
        <v>2</v>
      </c>
      <c r="Q54" s="274">
        <v>2</v>
      </c>
      <c r="R54" s="274">
        <v>2</v>
      </c>
      <c r="S54" s="274">
        <v>2</v>
      </c>
      <c r="T54" s="268"/>
      <c r="U54" s="268"/>
      <c r="V54" s="268"/>
      <c r="W54" s="268"/>
      <c r="X54" s="268"/>
      <c r="Y54" s="268"/>
      <c r="Z54" s="268"/>
      <c r="AA54" s="268"/>
      <c r="AB54" s="268"/>
      <c r="AC54" s="268"/>
      <c r="AD54" s="268"/>
    </row>
    <row r="55" spans="1:30" ht="13" x14ac:dyDescent="0.15">
      <c r="A55" s="283">
        <f t="shared" si="1"/>
        <v>28.888888888888889</v>
      </c>
      <c r="B55" s="279">
        <v>84</v>
      </c>
      <c r="C55" s="282">
        <v>36</v>
      </c>
      <c r="D55" s="274">
        <v>21</v>
      </c>
      <c r="E55" s="274">
        <v>16</v>
      </c>
      <c r="F55" s="274">
        <v>11</v>
      </c>
      <c r="G55" s="274">
        <v>8</v>
      </c>
      <c r="H55" s="274">
        <v>7</v>
      </c>
      <c r="I55" s="274">
        <v>6</v>
      </c>
      <c r="J55" s="274">
        <v>5</v>
      </c>
      <c r="K55" s="274">
        <v>4</v>
      </c>
      <c r="L55" s="274">
        <v>4</v>
      </c>
      <c r="M55" s="274">
        <v>3</v>
      </c>
      <c r="N55" s="274">
        <v>2</v>
      </c>
      <c r="O55" s="274">
        <v>2</v>
      </c>
      <c r="P55" s="274">
        <v>2</v>
      </c>
      <c r="Q55" s="274">
        <v>2</v>
      </c>
      <c r="R55" s="274">
        <v>2</v>
      </c>
      <c r="S55" s="274">
        <v>2</v>
      </c>
      <c r="T55" s="268"/>
      <c r="U55" s="268"/>
      <c r="V55" s="268"/>
      <c r="W55" s="268"/>
      <c r="X55" s="268"/>
      <c r="Y55" s="268"/>
      <c r="Z55" s="268"/>
      <c r="AA55" s="268"/>
      <c r="AB55" s="268"/>
      <c r="AC55" s="268"/>
      <c r="AD55" s="268"/>
    </row>
    <row r="56" spans="1:30" ht="13" x14ac:dyDescent="0.15">
      <c r="A56" s="283">
        <f t="shared" si="1"/>
        <v>29.444444444444443</v>
      </c>
      <c r="B56" s="279">
        <v>85</v>
      </c>
      <c r="C56" s="282">
        <v>34</v>
      </c>
      <c r="D56" s="274">
        <v>20</v>
      </c>
      <c r="E56" s="274">
        <v>15</v>
      </c>
      <c r="F56" s="274">
        <v>10</v>
      </c>
      <c r="G56" s="274">
        <v>8</v>
      </c>
      <c r="H56" s="274">
        <v>6</v>
      </c>
      <c r="I56" s="274">
        <v>5</v>
      </c>
      <c r="J56" s="274">
        <v>5</v>
      </c>
      <c r="K56" s="274">
        <v>4</v>
      </c>
      <c r="L56" s="274">
        <v>4</v>
      </c>
      <c r="M56" s="274">
        <v>3</v>
      </c>
      <c r="N56" s="274">
        <v>2</v>
      </c>
      <c r="O56" s="274">
        <v>2</v>
      </c>
      <c r="P56" s="274">
        <v>2</v>
      </c>
      <c r="Q56" s="274">
        <v>2</v>
      </c>
      <c r="R56" s="274">
        <v>2</v>
      </c>
      <c r="S56" s="274">
        <v>2</v>
      </c>
      <c r="T56" s="268"/>
      <c r="U56" s="268"/>
      <c r="V56" s="268"/>
      <c r="W56" s="268"/>
      <c r="X56" s="268"/>
      <c r="Y56" s="268"/>
      <c r="Z56" s="268"/>
      <c r="AA56" s="268"/>
      <c r="AB56" s="268"/>
      <c r="AC56" s="268"/>
      <c r="AD56" s="268"/>
    </row>
    <row r="57" spans="1:30" ht="13" x14ac:dyDescent="0.15">
      <c r="A57" s="283">
        <f t="shared" si="1"/>
        <v>30</v>
      </c>
      <c r="B57" s="279">
        <v>86</v>
      </c>
      <c r="C57" s="282">
        <v>32</v>
      </c>
      <c r="D57" s="274">
        <v>19</v>
      </c>
      <c r="E57" s="274">
        <v>14</v>
      </c>
      <c r="F57" s="274">
        <v>10</v>
      </c>
      <c r="G57" s="274">
        <v>7</v>
      </c>
      <c r="H57" s="274">
        <v>6</v>
      </c>
      <c r="I57" s="274">
        <v>5</v>
      </c>
      <c r="J57" s="274">
        <v>4</v>
      </c>
      <c r="K57" s="274">
        <v>4</v>
      </c>
      <c r="L57" s="274">
        <v>4</v>
      </c>
      <c r="M57" s="274">
        <v>3</v>
      </c>
      <c r="N57" s="274">
        <v>2</v>
      </c>
      <c r="O57" s="274">
        <v>2</v>
      </c>
      <c r="P57" s="274">
        <v>2</v>
      </c>
      <c r="Q57" s="274">
        <v>2</v>
      </c>
      <c r="R57" s="274">
        <v>2</v>
      </c>
      <c r="S57" s="274">
        <v>2</v>
      </c>
      <c r="T57" s="268"/>
      <c r="U57" s="268"/>
      <c r="V57" s="268"/>
      <c r="W57" s="268"/>
      <c r="X57" s="268"/>
      <c r="Y57" s="268"/>
      <c r="Z57" s="268"/>
      <c r="AA57" s="268"/>
      <c r="AB57" s="268"/>
      <c r="AC57" s="268"/>
      <c r="AD57" s="268"/>
    </row>
    <row r="58" spans="1:30" ht="13" x14ac:dyDescent="0.15">
      <c r="A58" s="283">
        <f t="shared" si="1"/>
        <v>30.555555555555554</v>
      </c>
      <c r="B58" s="279">
        <v>87</v>
      </c>
      <c r="C58" s="282">
        <v>30</v>
      </c>
      <c r="D58" s="274">
        <v>18</v>
      </c>
      <c r="E58" s="274">
        <v>14</v>
      </c>
      <c r="F58" s="274">
        <v>9</v>
      </c>
      <c r="G58" s="274">
        <v>7</v>
      </c>
      <c r="H58" s="274">
        <v>6</v>
      </c>
      <c r="I58" s="274">
        <v>5</v>
      </c>
      <c r="J58" s="274">
        <v>4</v>
      </c>
      <c r="K58" s="274">
        <v>4</v>
      </c>
      <c r="L58" s="274">
        <v>3</v>
      </c>
      <c r="M58" s="274">
        <v>3</v>
      </c>
      <c r="N58" s="274">
        <v>2</v>
      </c>
      <c r="O58" s="274">
        <v>2</v>
      </c>
      <c r="P58" s="274">
        <v>2</v>
      </c>
      <c r="Q58" s="274">
        <v>2</v>
      </c>
      <c r="R58" s="274">
        <v>2</v>
      </c>
      <c r="S58" s="274">
        <v>2</v>
      </c>
      <c r="T58" s="268"/>
      <c r="U58" s="268"/>
      <c r="V58" s="268"/>
      <c r="W58" s="268"/>
      <c r="X58" s="268"/>
      <c r="Y58" s="268"/>
      <c r="Z58" s="268"/>
      <c r="AA58" s="268"/>
      <c r="AB58" s="268"/>
      <c r="AC58" s="268"/>
      <c r="AD58" s="268"/>
    </row>
    <row r="59" spans="1:30" ht="13" x14ac:dyDescent="0.15">
      <c r="A59" s="283">
        <f t="shared" si="1"/>
        <v>31.111111111111111</v>
      </c>
      <c r="B59" s="279">
        <v>88</v>
      </c>
      <c r="C59" s="282">
        <v>29</v>
      </c>
      <c r="D59" s="274">
        <v>18</v>
      </c>
      <c r="E59" s="274">
        <v>13</v>
      </c>
      <c r="F59" s="274">
        <v>9</v>
      </c>
      <c r="G59" s="274">
        <v>7</v>
      </c>
      <c r="H59" s="274">
        <v>5</v>
      </c>
      <c r="I59" s="274">
        <v>5</v>
      </c>
      <c r="J59" s="274">
        <v>4</v>
      </c>
      <c r="K59" s="274">
        <v>4</v>
      </c>
      <c r="L59" s="274">
        <v>3</v>
      </c>
      <c r="M59" s="274">
        <v>2</v>
      </c>
      <c r="N59" s="274">
        <v>2</v>
      </c>
      <c r="O59" s="274">
        <v>2</v>
      </c>
      <c r="P59" s="274">
        <v>2</v>
      </c>
      <c r="Q59" s="274">
        <v>2</v>
      </c>
      <c r="R59" s="274">
        <v>2</v>
      </c>
      <c r="S59" s="274">
        <v>2</v>
      </c>
      <c r="T59" s="268"/>
      <c r="U59" s="268"/>
      <c r="V59" s="268"/>
      <c r="W59" s="268"/>
      <c r="X59" s="268"/>
      <c r="Y59" s="268"/>
      <c r="Z59" s="268"/>
      <c r="AA59" s="268"/>
      <c r="AB59" s="268"/>
      <c r="AC59" s="268"/>
      <c r="AD59" s="268"/>
    </row>
    <row r="60" spans="1:30" ht="13" x14ac:dyDescent="0.15">
      <c r="A60" s="283">
        <f t="shared" si="1"/>
        <v>31.666666666666664</v>
      </c>
      <c r="B60" s="279">
        <v>89</v>
      </c>
      <c r="C60" s="282">
        <v>28</v>
      </c>
      <c r="D60" s="274">
        <v>17</v>
      </c>
      <c r="E60" s="274">
        <v>13</v>
      </c>
      <c r="F60" s="274">
        <v>9</v>
      </c>
      <c r="G60" s="274">
        <v>6</v>
      </c>
      <c r="H60" s="274">
        <v>5</v>
      </c>
      <c r="I60" s="274">
        <v>4</v>
      </c>
      <c r="J60" s="274">
        <v>4</v>
      </c>
      <c r="K60" s="274">
        <v>3</v>
      </c>
      <c r="L60" s="274">
        <v>3</v>
      </c>
      <c r="M60" s="274">
        <v>2</v>
      </c>
      <c r="N60" s="274">
        <v>2</v>
      </c>
      <c r="O60" s="274">
        <v>2</v>
      </c>
      <c r="P60" s="274">
        <v>2</v>
      </c>
      <c r="Q60" s="274">
        <v>2</v>
      </c>
      <c r="R60" s="274">
        <v>2</v>
      </c>
      <c r="S60" s="274">
        <v>2</v>
      </c>
      <c r="T60" s="268"/>
      <c r="U60" s="268"/>
      <c r="V60" s="268"/>
      <c r="W60" s="268"/>
      <c r="X60" s="268"/>
      <c r="Y60" s="268"/>
      <c r="Z60" s="268"/>
      <c r="AA60" s="268"/>
      <c r="AB60" s="268"/>
      <c r="AC60" s="268"/>
      <c r="AD60" s="268"/>
    </row>
    <row r="61" spans="1:30" ht="13" x14ac:dyDescent="0.15">
      <c r="A61" s="283">
        <f t="shared" si="1"/>
        <v>32.222222222222221</v>
      </c>
      <c r="B61" s="279">
        <v>90</v>
      </c>
      <c r="C61" s="282">
        <v>27</v>
      </c>
      <c r="D61" s="274">
        <v>16</v>
      </c>
      <c r="E61" s="274">
        <v>12</v>
      </c>
      <c r="F61" s="274">
        <v>8</v>
      </c>
      <c r="G61" s="274">
        <v>6</v>
      </c>
      <c r="H61" s="274">
        <v>5</v>
      </c>
      <c r="I61" s="274">
        <v>4</v>
      </c>
      <c r="J61" s="274">
        <v>4</v>
      </c>
      <c r="K61" s="274">
        <v>3</v>
      </c>
      <c r="L61" s="274">
        <v>3</v>
      </c>
      <c r="M61" s="274">
        <v>2</v>
      </c>
      <c r="N61" s="274">
        <v>2</v>
      </c>
      <c r="O61" s="274">
        <v>2</v>
      </c>
      <c r="P61" s="274">
        <v>2</v>
      </c>
      <c r="Q61" s="274">
        <v>2</v>
      </c>
      <c r="R61" s="274">
        <v>2</v>
      </c>
      <c r="S61" s="274">
        <v>2</v>
      </c>
      <c r="T61" s="268"/>
      <c r="U61" s="268"/>
      <c r="V61" s="268"/>
      <c r="W61" s="268"/>
      <c r="X61" s="268"/>
      <c r="Y61" s="268"/>
      <c r="Z61" s="268"/>
      <c r="AA61" s="268"/>
      <c r="AB61" s="268"/>
      <c r="AC61" s="268"/>
      <c r="AD61" s="268"/>
    </row>
    <row r="62" spans="1:30" ht="13" x14ac:dyDescent="0.15">
      <c r="A62" s="283">
        <f t="shared" si="1"/>
        <v>32.777777777777779</v>
      </c>
      <c r="B62" s="279">
        <v>91</v>
      </c>
      <c r="C62" s="282">
        <v>26</v>
      </c>
      <c r="D62" s="274">
        <v>16</v>
      </c>
      <c r="E62" s="274">
        <v>12</v>
      </c>
      <c r="F62" s="274">
        <v>8</v>
      </c>
      <c r="G62" s="274">
        <v>6</v>
      </c>
      <c r="H62" s="274">
        <v>5</v>
      </c>
      <c r="I62" s="274">
        <v>4</v>
      </c>
      <c r="J62" s="274">
        <v>4</v>
      </c>
      <c r="K62" s="274">
        <v>3</v>
      </c>
      <c r="L62" s="274">
        <v>3</v>
      </c>
      <c r="M62" s="274">
        <v>2</v>
      </c>
      <c r="N62" s="274">
        <v>2</v>
      </c>
      <c r="O62" s="274">
        <v>2</v>
      </c>
      <c r="P62" s="274">
        <v>2</v>
      </c>
      <c r="Q62" s="274">
        <v>2</v>
      </c>
      <c r="R62" s="274">
        <v>2</v>
      </c>
      <c r="S62" s="274">
        <v>2</v>
      </c>
      <c r="T62" s="268"/>
      <c r="U62" s="268"/>
      <c r="V62" s="268"/>
      <c r="W62" s="268"/>
      <c r="X62" s="268"/>
      <c r="Y62" s="268"/>
      <c r="Z62" s="268"/>
      <c r="AA62" s="268"/>
      <c r="AB62" s="268"/>
      <c r="AC62" s="268"/>
      <c r="AD62" s="268"/>
    </row>
    <row r="63" spans="1:30" ht="13" x14ac:dyDescent="0.15">
      <c r="A63" s="283">
        <f t="shared" si="1"/>
        <v>33.333333333333336</v>
      </c>
      <c r="B63" s="279">
        <v>92</v>
      </c>
      <c r="C63" s="282">
        <v>25</v>
      </c>
      <c r="D63" s="274">
        <v>15</v>
      </c>
      <c r="E63" s="274">
        <v>11</v>
      </c>
      <c r="F63" s="274">
        <v>8</v>
      </c>
      <c r="G63" s="274">
        <v>6</v>
      </c>
      <c r="H63" s="274">
        <v>5</v>
      </c>
      <c r="I63" s="274">
        <v>4</v>
      </c>
      <c r="J63" s="274">
        <v>3</v>
      </c>
      <c r="K63" s="274">
        <v>3</v>
      </c>
      <c r="L63" s="274">
        <v>3</v>
      </c>
      <c r="M63" s="274">
        <v>2</v>
      </c>
      <c r="N63" s="274">
        <v>2</v>
      </c>
      <c r="O63" s="274">
        <v>2</v>
      </c>
      <c r="P63" s="274">
        <v>2</v>
      </c>
      <c r="Q63" s="274">
        <v>2</v>
      </c>
      <c r="R63" s="274">
        <v>2</v>
      </c>
      <c r="S63" s="274">
        <v>2</v>
      </c>
      <c r="T63" s="268"/>
      <c r="U63" s="268"/>
      <c r="V63" s="268"/>
      <c r="W63" s="268"/>
      <c r="X63" s="268"/>
      <c r="Y63" s="268"/>
      <c r="Z63" s="268"/>
      <c r="AA63" s="268"/>
      <c r="AB63" s="268"/>
      <c r="AC63" s="268"/>
      <c r="AD63" s="268"/>
    </row>
    <row r="64" spans="1:30" ht="13" x14ac:dyDescent="0.15">
      <c r="A64" s="283">
        <f t="shared" si="1"/>
        <v>33.888888888888886</v>
      </c>
      <c r="B64" s="279">
        <v>93</v>
      </c>
      <c r="C64" s="282">
        <v>24</v>
      </c>
      <c r="D64" s="274">
        <v>15</v>
      </c>
      <c r="E64" s="274">
        <v>11</v>
      </c>
      <c r="F64" s="274">
        <v>7</v>
      </c>
      <c r="G64" s="274">
        <v>6</v>
      </c>
      <c r="H64" s="274">
        <v>5</v>
      </c>
      <c r="I64" s="274">
        <v>4</v>
      </c>
      <c r="J64" s="274">
        <v>3</v>
      </c>
      <c r="K64" s="274">
        <v>3</v>
      </c>
      <c r="L64" s="274">
        <v>3</v>
      </c>
      <c r="M64" s="274">
        <v>2</v>
      </c>
      <c r="N64" s="274">
        <v>2</v>
      </c>
      <c r="O64" s="274">
        <v>2</v>
      </c>
      <c r="P64" s="274">
        <v>2</v>
      </c>
      <c r="Q64" s="274">
        <v>2</v>
      </c>
      <c r="R64" s="274">
        <v>2</v>
      </c>
      <c r="S64" s="274">
        <v>2</v>
      </c>
      <c r="T64" s="268"/>
      <c r="U64" s="268"/>
      <c r="V64" s="268"/>
      <c r="W64" s="268"/>
      <c r="X64" s="268"/>
      <c r="Y64" s="268"/>
      <c r="Z64" s="268"/>
      <c r="AA64" s="268"/>
      <c r="AB64" s="268"/>
      <c r="AC64" s="268"/>
      <c r="AD64" s="268"/>
    </row>
    <row r="65" spans="1:30" ht="13" x14ac:dyDescent="0.15">
      <c r="A65" s="283">
        <f t="shared" si="1"/>
        <v>34.444444444444443</v>
      </c>
      <c r="B65" s="279">
        <v>94</v>
      </c>
      <c r="C65" s="282">
        <v>23</v>
      </c>
      <c r="D65" s="274">
        <v>14</v>
      </c>
      <c r="E65" s="274">
        <v>10</v>
      </c>
      <c r="F65" s="274">
        <v>7</v>
      </c>
      <c r="G65" s="274">
        <v>5</v>
      </c>
      <c r="H65" s="274">
        <v>4</v>
      </c>
      <c r="I65" s="274">
        <v>4</v>
      </c>
      <c r="J65" s="274">
        <v>3</v>
      </c>
      <c r="K65" s="274">
        <v>3</v>
      </c>
      <c r="L65" s="274">
        <v>3</v>
      </c>
      <c r="M65" s="274">
        <v>2</v>
      </c>
      <c r="N65" s="274">
        <v>2</v>
      </c>
      <c r="O65" s="274">
        <v>2</v>
      </c>
      <c r="P65" s="274">
        <v>2</v>
      </c>
      <c r="Q65" s="274">
        <v>2</v>
      </c>
      <c r="R65" s="274">
        <v>2</v>
      </c>
      <c r="S65" s="274">
        <v>2</v>
      </c>
      <c r="T65" s="268"/>
      <c r="U65" s="268"/>
      <c r="V65" s="268"/>
      <c r="W65" s="268"/>
      <c r="X65" s="268"/>
      <c r="Y65" s="268"/>
      <c r="Z65" s="268"/>
      <c r="AA65" s="268"/>
      <c r="AB65" s="268"/>
      <c r="AC65" s="268"/>
      <c r="AD65" s="268"/>
    </row>
    <row r="66" spans="1:30" ht="13" x14ac:dyDescent="0.15">
      <c r="A66" s="283">
        <f t="shared" si="1"/>
        <v>35</v>
      </c>
      <c r="B66" s="279">
        <v>95</v>
      </c>
      <c r="C66" s="282">
        <v>22</v>
      </c>
      <c r="D66" s="274">
        <v>13</v>
      </c>
      <c r="E66" s="274">
        <v>10</v>
      </c>
      <c r="F66" s="274">
        <v>7</v>
      </c>
      <c r="G66" s="274">
        <v>5</v>
      </c>
      <c r="H66" s="274">
        <v>4</v>
      </c>
      <c r="I66" s="274">
        <v>4</v>
      </c>
      <c r="J66" s="274">
        <v>3</v>
      </c>
      <c r="K66" s="274">
        <v>3</v>
      </c>
      <c r="L66" s="274">
        <v>2</v>
      </c>
      <c r="M66" s="274">
        <v>2</v>
      </c>
      <c r="N66" s="274">
        <v>2</v>
      </c>
      <c r="O66" s="274">
        <v>2</v>
      </c>
      <c r="P66" s="274">
        <v>2</v>
      </c>
      <c r="Q66" s="274">
        <v>2</v>
      </c>
      <c r="R66" s="274">
        <v>2</v>
      </c>
      <c r="S66" s="274">
        <v>2</v>
      </c>
      <c r="T66" s="268"/>
      <c r="U66" s="268"/>
      <c r="V66" s="268"/>
      <c r="W66" s="268"/>
      <c r="X66" s="268"/>
      <c r="Y66" s="268"/>
      <c r="Z66" s="268"/>
      <c r="AA66" s="268"/>
      <c r="AB66" s="268"/>
      <c r="AC66" s="268"/>
      <c r="AD66" s="268"/>
    </row>
    <row r="67" spans="1:30" ht="13" x14ac:dyDescent="0.15">
      <c r="A67" s="279"/>
      <c r="B67" s="279"/>
      <c r="C67" s="274"/>
      <c r="D67" s="274"/>
      <c r="E67" s="274"/>
      <c r="F67" s="274"/>
      <c r="G67" s="274"/>
      <c r="H67" s="274"/>
      <c r="I67" s="274"/>
      <c r="J67" s="274"/>
      <c r="K67" s="274"/>
      <c r="L67" s="274"/>
      <c r="M67" s="274"/>
      <c r="N67" s="274"/>
      <c r="O67" s="274"/>
      <c r="P67" s="274"/>
      <c r="Q67" s="274"/>
      <c r="R67" s="274"/>
      <c r="S67" s="274"/>
      <c r="T67" s="268"/>
      <c r="U67" s="268"/>
      <c r="V67" s="268"/>
      <c r="W67" s="268"/>
      <c r="X67" s="268"/>
      <c r="Y67" s="268"/>
      <c r="Z67" s="268"/>
      <c r="AA67" s="268"/>
      <c r="AB67" s="268"/>
      <c r="AC67" s="268"/>
      <c r="AD67" s="268"/>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21D45-F778-486D-A63E-119D38125922}">
  <sheetPr codeName="Ark12">
    <outlinePr summaryBelow="0" summaryRight="0"/>
  </sheetPr>
  <dimension ref="A1:X67"/>
  <sheetViews>
    <sheetView workbookViewId="0">
      <pane xSplit="2" ySplit="5" topLeftCell="C6" activePane="bottomRight" state="frozen"/>
      <selection activeCell="G8" sqref="G8"/>
      <selection pane="topRight" activeCell="G8" sqref="G8"/>
      <selection pane="bottomLeft" activeCell="G8" sqref="G8"/>
      <selection pane="bottomRight" activeCell="K9" sqref="K9"/>
    </sheetView>
  </sheetViews>
  <sheetFormatPr baseColWidth="10" defaultColWidth="14.5" defaultRowHeight="15.75" customHeight="1" x14ac:dyDescent="0.15"/>
  <cols>
    <col min="1" max="1" width="5.5" style="262" customWidth="1"/>
    <col min="2" max="2" width="7.1640625" style="262" customWidth="1"/>
    <col min="3" max="23" width="5.83203125" style="262" customWidth="1"/>
    <col min="24" max="24" width="2.83203125" style="262" customWidth="1"/>
    <col min="25" max="16384" width="14.5" style="262"/>
  </cols>
  <sheetData>
    <row r="1" spans="1:24" ht="15.75" customHeight="1" x14ac:dyDescent="0.15">
      <c r="A1" s="281"/>
      <c r="B1" s="281" t="s">
        <v>311</v>
      </c>
      <c r="C1" s="269">
        <v>4.0000000000000001E-3</v>
      </c>
      <c r="D1" s="270">
        <v>8.0000000000000002E-3</v>
      </c>
      <c r="E1" s="270">
        <v>1.2999999999999999E-2</v>
      </c>
      <c r="F1" s="270">
        <v>2.1000000000000001E-2</v>
      </c>
      <c r="G1" s="270">
        <v>3.2000000000000001E-2</v>
      </c>
      <c r="H1" s="270">
        <v>4.2000000000000003E-2</v>
      </c>
      <c r="I1" s="270">
        <v>5.2999999999999999E-2</v>
      </c>
      <c r="J1" s="270">
        <v>6.3E-2</v>
      </c>
      <c r="K1" s="270">
        <v>7.3999999999999996E-2</v>
      </c>
      <c r="L1" s="270">
        <v>8.4000000000000005E-2</v>
      </c>
      <c r="M1" s="270">
        <v>0.126</v>
      </c>
      <c r="N1" s="270">
        <v>0.16800000000000001</v>
      </c>
      <c r="O1" s="270">
        <v>0.21</v>
      </c>
      <c r="P1" s="270">
        <v>0.252</v>
      </c>
      <c r="Q1" s="270">
        <v>0.29399999999999998</v>
      </c>
      <c r="R1" s="270">
        <v>0.33600000000000002</v>
      </c>
      <c r="S1" s="270">
        <v>0.42</v>
      </c>
      <c r="T1" s="270">
        <v>0.504</v>
      </c>
      <c r="U1" s="270">
        <v>0.58799999999999997</v>
      </c>
      <c r="V1" s="270">
        <v>0.67200000000000004</v>
      </c>
      <c r="W1" s="270">
        <v>0.75600000000000001</v>
      </c>
      <c r="X1" s="268"/>
    </row>
    <row r="2" spans="1:24" ht="15.75" customHeight="1" x14ac:dyDescent="0.15">
      <c r="A2" s="281"/>
      <c r="B2" s="281" t="s">
        <v>310</v>
      </c>
      <c r="C2" s="269">
        <v>3.0000000000000001E-3</v>
      </c>
      <c r="D2" s="270">
        <v>6.0000000000000001E-3</v>
      </c>
      <c r="E2" s="270">
        <v>0.01</v>
      </c>
      <c r="F2" s="270">
        <v>1.6E-2</v>
      </c>
      <c r="G2" s="270">
        <v>2.4E-2</v>
      </c>
      <c r="H2" s="270">
        <v>3.2000000000000001E-2</v>
      </c>
      <c r="I2" s="270">
        <v>0.04</v>
      </c>
      <c r="J2" s="270">
        <v>4.8000000000000001E-2</v>
      </c>
      <c r="K2" s="270">
        <v>5.6000000000000001E-2</v>
      </c>
      <c r="L2" s="270">
        <v>6.4000000000000001E-2</v>
      </c>
      <c r="M2" s="270">
        <v>9.6000000000000002E-2</v>
      </c>
      <c r="N2" s="270">
        <v>0.128</v>
      </c>
      <c r="O2" s="270">
        <v>0.16</v>
      </c>
      <c r="P2" s="270">
        <v>0.192</v>
      </c>
      <c r="Q2" s="270">
        <v>0.224</v>
      </c>
      <c r="R2" s="270">
        <v>0.25600000000000001</v>
      </c>
      <c r="S2" s="270">
        <v>0.32</v>
      </c>
      <c r="T2" s="271">
        <v>0.38400000000000001</v>
      </c>
      <c r="U2" s="271">
        <v>0.44800000000000001</v>
      </c>
      <c r="V2" s="271">
        <v>0.51200000000000001</v>
      </c>
      <c r="W2" s="271">
        <v>0.57599999999999996</v>
      </c>
      <c r="X2" s="268"/>
    </row>
    <row r="3" spans="1:24" ht="15.75" customHeight="1" x14ac:dyDescent="0.15">
      <c r="A3" s="281"/>
      <c r="B3" s="281" t="s">
        <v>309</v>
      </c>
      <c r="C3" s="269">
        <v>0.01</v>
      </c>
      <c r="D3" s="270">
        <v>0.02</v>
      </c>
      <c r="E3" s="270">
        <v>0.03</v>
      </c>
      <c r="F3" s="270">
        <v>0.05</v>
      </c>
      <c r="G3" s="270">
        <v>7.4999999999999997E-2</v>
      </c>
      <c r="H3" s="270">
        <v>0.1</v>
      </c>
      <c r="I3" s="270">
        <v>0.125</v>
      </c>
      <c r="J3" s="270">
        <v>0.15</v>
      </c>
      <c r="K3" s="270">
        <v>0.17499999999999999</v>
      </c>
      <c r="L3" s="270">
        <v>0.2</v>
      </c>
      <c r="M3" s="270">
        <v>0.3</v>
      </c>
      <c r="N3" s="270">
        <v>0.4</v>
      </c>
      <c r="O3" s="270">
        <v>0.5</v>
      </c>
      <c r="P3" s="270">
        <v>0.6</v>
      </c>
      <c r="Q3" s="270">
        <v>0.7</v>
      </c>
      <c r="R3" s="270">
        <v>0.8</v>
      </c>
      <c r="S3" s="270">
        <v>1</v>
      </c>
      <c r="T3" s="271">
        <v>1.2</v>
      </c>
      <c r="U3" s="271">
        <v>1.4</v>
      </c>
      <c r="V3" s="271">
        <v>1.6</v>
      </c>
      <c r="W3" s="271">
        <v>1.8</v>
      </c>
      <c r="X3" s="268"/>
    </row>
    <row r="4" spans="1:24" ht="15.75" customHeight="1" x14ac:dyDescent="0.15">
      <c r="A4" s="284"/>
      <c r="B4" s="285" t="s">
        <v>308</v>
      </c>
      <c r="C4" s="272">
        <v>1</v>
      </c>
      <c r="D4" s="273">
        <v>1.5</v>
      </c>
      <c r="E4" s="273">
        <v>2</v>
      </c>
      <c r="F4" s="273">
        <v>2.5</v>
      </c>
      <c r="G4" s="273">
        <v>2</v>
      </c>
      <c r="H4" s="273">
        <v>4</v>
      </c>
      <c r="I4" s="273">
        <v>5</v>
      </c>
      <c r="J4" s="273">
        <v>6</v>
      </c>
      <c r="K4" s="273">
        <v>7</v>
      </c>
      <c r="L4" s="273">
        <v>8</v>
      </c>
      <c r="M4" s="273">
        <v>9</v>
      </c>
      <c r="N4" s="273">
        <v>10</v>
      </c>
      <c r="O4" s="273">
        <v>12.5</v>
      </c>
      <c r="P4" s="273">
        <v>15</v>
      </c>
      <c r="Q4" s="273">
        <v>17.5</v>
      </c>
      <c r="R4" s="273">
        <v>20</v>
      </c>
      <c r="S4" s="273">
        <v>22.5</v>
      </c>
      <c r="T4" s="273">
        <v>25</v>
      </c>
      <c r="U4" s="273">
        <v>30</v>
      </c>
      <c r="V4" s="273">
        <v>35</v>
      </c>
      <c r="W4" s="273">
        <v>40</v>
      </c>
      <c r="X4" s="268"/>
    </row>
    <row r="5" spans="1:24" ht="15.75" customHeight="1" x14ac:dyDescent="0.15">
      <c r="A5" s="286" t="s">
        <v>303</v>
      </c>
      <c r="B5" s="286" t="s">
        <v>302</v>
      </c>
      <c r="C5" s="276"/>
      <c r="D5" s="277"/>
      <c r="E5" s="277"/>
      <c r="F5" s="277"/>
      <c r="G5" s="277"/>
      <c r="H5" s="277"/>
      <c r="I5" s="277"/>
      <c r="J5" s="277"/>
      <c r="K5" s="277"/>
      <c r="L5" s="277"/>
      <c r="M5" s="277"/>
      <c r="N5" s="277"/>
      <c r="O5" s="277"/>
      <c r="P5" s="277"/>
      <c r="Q5" s="277"/>
      <c r="R5" s="277"/>
      <c r="S5" s="277"/>
      <c r="T5" s="277"/>
      <c r="U5" s="277"/>
      <c r="V5" s="277"/>
      <c r="W5" s="277"/>
      <c r="X5" s="268"/>
    </row>
    <row r="6" spans="1:24" ht="15.75" customHeight="1" x14ac:dyDescent="0.15">
      <c r="A6" s="278">
        <f t="shared" ref="A6:A37" si="0">(B6-32)/1.8</f>
        <v>12.777777777777777</v>
      </c>
      <c r="B6" s="279">
        <v>55</v>
      </c>
      <c r="C6" s="282">
        <v>123</v>
      </c>
      <c r="D6" s="274">
        <v>112</v>
      </c>
      <c r="E6" s="274">
        <v>104</v>
      </c>
      <c r="F6" s="274">
        <v>98</v>
      </c>
      <c r="G6" s="274">
        <v>93</v>
      </c>
      <c r="H6" s="274">
        <v>85</v>
      </c>
      <c r="I6" s="274">
        <v>79</v>
      </c>
      <c r="J6" s="274">
        <v>74</v>
      </c>
      <c r="K6" s="274">
        <v>70</v>
      </c>
      <c r="L6" s="274">
        <v>66</v>
      </c>
      <c r="M6" s="274">
        <v>63</v>
      </c>
      <c r="N6" s="274">
        <v>60</v>
      </c>
      <c r="O6" s="274">
        <v>54</v>
      </c>
      <c r="P6" s="274">
        <v>49</v>
      </c>
      <c r="Q6" s="274">
        <v>45</v>
      </c>
      <c r="R6" s="274">
        <v>41</v>
      </c>
      <c r="S6" s="274">
        <v>38</v>
      </c>
      <c r="T6" s="274">
        <v>35</v>
      </c>
      <c r="U6" s="274">
        <v>30</v>
      </c>
      <c r="V6" s="274">
        <v>26</v>
      </c>
      <c r="W6" s="274">
        <v>22</v>
      </c>
      <c r="X6" s="268"/>
    </row>
    <row r="7" spans="1:24" ht="15.75" customHeight="1" x14ac:dyDescent="0.15">
      <c r="A7" s="278">
        <f t="shared" si="0"/>
        <v>13.333333333333332</v>
      </c>
      <c r="B7" s="279">
        <v>56</v>
      </c>
      <c r="C7" s="282">
        <v>111</v>
      </c>
      <c r="D7" s="274">
        <v>101</v>
      </c>
      <c r="E7" s="274">
        <v>94</v>
      </c>
      <c r="F7" s="274">
        <v>89</v>
      </c>
      <c r="G7" s="274">
        <v>84</v>
      </c>
      <c r="H7" s="274">
        <v>77</v>
      </c>
      <c r="I7" s="274">
        <v>71</v>
      </c>
      <c r="J7" s="274">
        <v>67</v>
      </c>
      <c r="K7" s="274">
        <v>63</v>
      </c>
      <c r="L7" s="274">
        <v>60</v>
      </c>
      <c r="M7" s="274">
        <v>57</v>
      </c>
      <c r="N7" s="274">
        <v>54</v>
      </c>
      <c r="O7" s="274">
        <v>49</v>
      </c>
      <c r="P7" s="274">
        <v>44</v>
      </c>
      <c r="Q7" s="274">
        <v>40</v>
      </c>
      <c r="R7" s="274">
        <v>17</v>
      </c>
      <c r="S7" s="274">
        <v>34</v>
      </c>
      <c r="T7" s="274">
        <v>32</v>
      </c>
      <c r="U7" s="274">
        <v>27</v>
      </c>
      <c r="V7" s="274">
        <v>23</v>
      </c>
      <c r="W7" s="274">
        <v>20</v>
      </c>
      <c r="X7" s="268"/>
    </row>
    <row r="8" spans="1:24" ht="15.75" customHeight="1" x14ac:dyDescent="0.15">
      <c r="A8" s="278">
        <f t="shared" si="0"/>
        <v>13.888888888888889</v>
      </c>
      <c r="B8" s="279">
        <v>57</v>
      </c>
      <c r="C8" s="282">
        <v>101</v>
      </c>
      <c r="D8" s="274">
        <v>92</v>
      </c>
      <c r="E8" s="274">
        <v>85</v>
      </c>
      <c r="F8" s="274">
        <v>80</v>
      </c>
      <c r="G8" s="274">
        <v>76</v>
      </c>
      <c r="H8" s="274">
        <v>70</v>
      </c>
      <c r="I8" s="274">
        <v>65</v>
      </c>
      <c r="J8" s="274">
        <v>61</v>
      </c>
      <c r="K8" s="274">
        <v>57</v>
      </c>
      <c r="L8" s="274">
        <v>54</v>
      </c>
      <c r="M8" s="274">
        <v>52</v>
      </c>
      <c r="N8" s="274">
        <v>49</v>
      </c>
      <c r="O8" s="274">
        <v>44</v>
      </c>
      <c r="P8" s="274">
        <v>40</v>
      </c>
      <c r="Q8" s="274">
        <v>37</v>
      </c>
      <c r="R8" s="274">
        <v>34</v>
      </c>
      <c r="S8" s="274">
        <v>31</v>
      </c>
      <c r="T8" s="274">
        <v>29</v>
      </c>
      <c r="U8" s="274">
        <v>25</v>
      </c>
      <c r="V8" s="274">
        <v>21</v>
      </c>
      <c r="W8" s="274">
        <v>18</v>
      </c>
      <c r="X8" s="268"/>
    </row>
    <row r="9" spans="1:24" ht="15.75" customHeight="1" x14ac:dyDescent="0.15">
      <c r="A9" s="278">
        <f t="shared" si="0"/>
        <v>14.444444444444445</v>
      </c>
      <c r="B9" s="279">
        <v>58</v>
      </c>
      <c r="C9" s="282">
        <v>92</v>
      </c>
      <c r="D9" s="274">
        <v>84</v>
      </c>
      <c r="E9" s="274">
        <v>78</v>
      </c>
      <c r="F9" s="274">
        <v>73</v>
      </c>
      <c r="G9" s="274">
        <v>69</v>
      </c>
      <c r="H9" s="274">
        <v>63</v>
      </c>
      <c r="I9" s="274">
        <v>59</v>
      </c>
      <c r="J9" s="274">
        <v>55</v>
      </c>
      <c r="K9" s="274">
        <v>52</v>
      </c>
      <c r="L9" s="274">
        <v>49</v>
      </c>
      <c r="M9" s="274">
        <v>47</v>
      </c>
      <c r="N9" s="274">
        <v>45</v>
      </c>
      <c r="O9" s="274">
        <v>40</v>
      </c>
      <c r="P9" s="274">
        <v>36</v>
      </c>
      <c r="Q9" s="274">
        <v>33</v>
      </c>
      <c r="R9" s="274">
        <v>31</v>
      </c>
      <c r="S9" s="274">
        <v>28</v>
      </c>
      <c r="T9" s="274">
        <v>26</v>
      </c>
      <c r="U9" s="274">
        <v>22</v>
      </c>
      <c r="V9" s="274">
        <v>19</v>
      </c>
      <c r="W9" s="274">
        <v>16</v>
      </c>
      <c r="X9" s="268"/>
    </row>
    <row r="10" spans="1:24" ht="15.75" customHeight="1" x14ac:dyDescent="0.15">
      <c r="A10" s="278">
        <f t="shared" si="0"/>
        <v>15</v>
      </c>
      <c r="B10" s="279">
        <v>59</v>
      </c>
      <c r="C10" s="282">
        <v>84</v>
      </c>
      <c r="D10" s="274">
        <v>76</v>
      </c>
      <c r="E10" s="274">
        <v>71</v>
      </c>
      <c r="F10" s="274">
        <v>66</v>
      </c>
      <c r="G10" s="274">
        <v>63</v>
      </c>
      <c r="H10" s="274">
        <v>58</v>
      </c>
      <c r="I10" s="274">
        <v>54</v>
      </c>
      <c r="J10" s="274">
        <v>50</v>
      </c>
      <c r="K10" s="274">
        <v>47</v>
      </c>
      <c r="L10" s="274">
        <v>45</v>
      </c>
      <c r="M10" s="274">
        <v>43</v>
      </c>
      <c r="N10" s="274">
        <v>41</v>
      </c>
      <c r="O10" s="274">
        <v>37</v>
      </c>
      <c r="P10" s="274">
        <v>33</v>
      </c>
      <c r="Q10" s="274">
        <v>30</v>
      </c>
      <c r="R10" s="274">
        <v>28</v>
      </c>
      <c r="S10" s="274">
        <v>26</v>
      </c>
      <c r="T10" s="274">
        <v>24</v>
      </c>
      <c r="U10" s="274">
        <v>20</v>
      </c>
      <c r="V10" s="274">
        <v>17</v>
      </c>
      <c r="W10" s="274">
        <v>15</v>
      </c>
      <c r="X10" s="268"/>
    </row>
    <row r="11" spans="1:24" ht="15.75" customHeight="1" x14ac:dyDescent="0.15">
      <c r="A11" s="278">
        <f t="shared" si="0"/>
        <v>15.555555555555555</v>
      </c>
      <c r="B11" s="279">
        <v>60</v>
      </c>
      <c r="C11" s="282">
        <v>76</v>
      </c>
      <c r="D11" s="274">
        <v>69</v>
      </c>
      <c r="E11" s="274">
        <v>64</v>
      </c>
      <c r="F11" s="274">
        <v>61</v>
      </c>
      <c r="G11" s="274">
        <v>57</v>
      </c>
      <c r="H11" s="274">
        <v>53</v>
      </c>
      <c r="I11" s="274">
        <v>49</v>
      </c>
      <c r="J11" s="274">
        <v>46</v>
      </c>
      <c r="K11" s="274">
        <v>43</v>
      </c>
      <c r="L11" s="274">
        <v>41</v>
      </c>
      <c r="M11" s="274">
        <v>39</v>
      </c>
      <c r="N11" s="274">
        <v>37</v>
      </c>
      <c r="O11" s="274">
        <v>33</v>
      </c>
      <c r="P11" s="274">
        <v>30</v>
      </c>
      <c r="Q11" s="274">
        <v>28</v>
      </c>
      <c r="R11" s="274">
        <v>25</v>
      </c>
      <c r="S11" s="274">
        <v>23</v>
      </c>
      <c r="T11" s="274">
        <v>22</v>
      </c>
      <c r="U11" s="274">
        <v>18</v>
      </c>
      <c r="V11" s="274">
        <v>16</v>
      </c>
      <c r="W11" s="274">
        <v>14</v>
      </c>
      <c r="X11" s="268"/>
    </row>
    <row r="12" spans="1:24" ht="15.75" customHeight="1" x14ac:dyDescent="0.15">
      <c r="A12" s="278">
        <f t="shared" si="0"/>
        <v>16.111111111111111</v>
      </c>
      <c r="B12" s="279">
        <v>61</v>
      </c>
      <c r="C12" s="282">
        <v>69</v>
      </c>
      <c r="D12" s="274">
        <v>63</v>
      </c>
      <c r="E12" s="274">
        <v>59</v>
      </c>
      <c r="F12" s="274">
        <v>55</v>
      </c>
      <c r="G12" s="274">
        <v>52</v>
      </c>
      <c r="H12" s="274">
        <v>48</v>
      </c>
      <c r="I12" s="274">
        <v>45</v>
      </c>
      <c r="J12" s="274">
        <v>42</v>
      </c>
      <c r="K12" s="274">
        <v>39</v>
      </c>
      <c r="L12" s="274">
        <v>37</v>
      </c>
      <c r="M12" s="274">
        <v>35</v>
      </c>
      <c r="N12" s="274">
        <v>34</v>
      </c>
      <c r="O12" s="274">
        <v>30</v>
      </c>
      <c r="P12" s="274">
        <v>28</v>
      </c>
      <c r="Q12" s="274">
        <v>25</v>
      </c>
      <c r="R12" s="274">
        <v>23</v>
      </c>
      <c r="S12" s="274">
        <v>21</v>
      </c>
      <c r="T12" s="274">
        <v>20</v>
      </c>
      <c r="U12" s="274">
        <v>17</v>
      </c>
      <c r="V12" s="274">
        <v>14</v>
      </c>
      <c r="W12" s="274">
        <v>12</v>
      </c>
      <c r="X12" s="268"/>
    </row>
    <row r="13" spans="1:24" ht="15.75" customHeight="1" x14ac:dyDescent="0.15">
      <c r="A13" s="278">
        <f t="shared" si="0"/>
        <v>16.666666666666668</v>
      </c>
      <c r="B13" s="279">
        <v>62</v>
      </c>
      <c r="C13" s="282">
        <v>63</v>
      </c>
      <c r="D13" s="274">
        <v>58</v>
      </c>
      <c r="E13" s="274">
        <v>54</v>
      </c>
      <c r="F13" s="274">
        <v>50</v>
      </c>
      <c r="G13" s="274">
        <v>48</v>
      </c>
      <c r="H13" s="274">
        <v>44</v>
      </c>
      <c r="I13" s="274">
        <v>41</v>
      </c>
      <c r="J13" s="274">
        <v>38</v>
      </c>
      <c r="K13" s="274">
        <v>36</v>
      </c>
      <c r="L13" s="274">
        <v>34</v>
      </c>
      <c r="M13" s="274">
        <v>32</v>
      </c>
      <c r="N13" s="274">
        <v>31</v>
      </c>
      <c r="O13" s="274">
        <v>28</v>
      </c>
      <c r="P13" s="274">
        <v>25</v>
      </c>
      <c r="Q13" s="274">
        <v>23</v>
      </c>
      <c r="R13" s="274">
        <v>21</v>
      </c>
      <c r="S13" s="274">
        <v>19</v>
      </c>
      <c r="T13" s="274">
        <v>18</v>
      </c>
      <c r="U13" s="274">
        <v>15</v>
      </c>
      <c r="V13" s="274">
        <v>13</v>
      </c>
      <c r="W13" s="274">
        <v>11</v>
      </c>
      <c r="X13" s="268"/>
    </row>
    <row r="14" spans="1:24" ht="15.75" customHeight="1" x14ac:dyDescent="0.15">
      <c r="A14" s="278">
        <f t="shared" si="0"/>
        <v>17.222222222222221</v>
      </c>
      <c r="B14" s="279">
        <v>63</v>
      </c>
      <c r="C14" s="282">
        <v>58</v>
      </c>
      <c r="D14" s="274">
        <v>53</v>
      </c>
      <c r="E14" s="274">
        <v>49</v>
      </c>
      <c r="F14" s="274">
        <v>46</v>
      </c>
      <c r="G14" s="274">
        <v>44</v>
      </c>
      <c r="H14" s="274">
        <v>40</v>
      </c>
      <c r="I14" s="274">
        <v>17</v>
      </c>
      <c r="J14" s="274">
        <v>35</v>
      </c>
      <c r="K14" s="274">
        <v>33</v>
      </c>
      <c r="L14" s="274">
        <v>31</v>
      </c>
      <c r="M14" s="274">
        <v>30</v>
      </c>
      <c r="N14" s="274">
        <v>28</v>
      </c>
      <c r="O14" s="274">
        <v>25</v>
      </c>
      <c r="P14" s="274">
        <v>23</v>
      </c>
      <c r="Q14" s="274">
        <v>21</v>
      </c>
      <c r="R14" s="274">
        <v>19</v>
      </c>
      <c r="S14" s="274">
        <v>18</v>
      </c>
      <c r="T14" s="274">
        <v>16</v>
      </c>
      <c r="U14" s="274">
        <v>14</v>
      </c>
      <c r="V14" s="274">
        <v>12</v>
      </c>
      <c r="W14" s="274">
        <v>10</v>
      </c>
      <c r="X14" s="268"/>
    </row>
    <row r="15" spans="1:24" ht="15.75" customHeight="1" x14ac:dyDescent="0.15">
      <c r="A15" s="278">
        <f t="shared" si="0"/>
        <v>17.777777777777779</v>
      </c>
      <c r="B15" s="279">
        <v>64</v>
      </c>
      <c r="C15" s="282">
        <v>53</v>
      </c>
      <c r="D15" s="274">
        <v>48</v>
      </c>
      <c r="E15" s="274">
        <v>45</v>
      </c>
      <c r="F15" s="274">
        <v>42</v>
      </c>
      <c r="G15" s="274">
        <v>40</v>
      </c>
      <c r="H15" s="274">
        <v>37</v>
      </c>
      <c r="I15" s="274">
        <v>34</v>
      </c>
      <c r="J15" s="274">
        <v>32</v>
      </c>
      <c r="K15" s="274">
        <v>30</v>
      </c>
      <c r="L15" s="274">
        <v>29</v>
      </c>
      <c r="M15" s="274">
        <v>27</v>
      </c>
      <c r="N15" s="274">
        <v>26</v>
      </c>
      <c r="O15" s="274">
        <v>23</v>
      </c>
      <c r="P15" s="274">
        <v>21</v>
      </c>
      <c r="Q15" s="274">
        <v>19</v>
      </c>
      <c r="R15" s="274">
        <v>18</v>
      </c>
      <c r="S15" s="274">
        <v>16</v>
      </c>
      <c r="T15" s="274">
        <v>15</v>
      </c>
      <c r="U15" s="274">
        <v>13</v>
      </c>
      <c r="V15" s="274">
        <v>11</v>
      </c>
      <c r="W15" s="274">
        <v>10</v>
      </c>
      <c r="X15" s="268"/>
    </row>
    <row r="16" spans="1:24" ht="15.75" customHeight="1" x14ac:dyDescent="0.15">
      <c r="A16" s="278">
        <f t="shared" si="0"/>
        <v>18.333333333333332</v>
      </c>
      <c r="B16" s="279">
        <v>65</v>
      </c>
      <c r="C16" s="282">
        <v>49</v>
      </c>
      <c r="D16" s="274">
        <v>44</v>
      </c>
      <c r="E16" s="274">
        <v>41</v>
      </c>
      <c r="F16" s="274">
        <v>39</v>
      </c>
      <c r="G16" s="274">
        <v>37</v>
      </c>
      <c r="H16" s="274">
        <v>34</v>
      </c>
      <c r="I16" s="274">
        <v>31</v>
      </c>
      <c r="J16" s="274">
        <v>29</v>
      </c>
      <c r="K16" s="274">
        <v>28</v>
      </c>
      <c r="L16" s="274">
        <v>26</v>
      </c>
      <c r="M16" s="274">
        <v>25</v>
      </c>
      <c r="N16" s="274">
        <v>24</v>
      </c>
      <c r="O16" s="274">
        <v>21</v>
      </c>
      <c r="P16" s="274">
        <v>19</v>
      </c>
      <c r="Q16" s="274">
        <v>18</v>
      </c>
      <c r="R16" s="274">
        <v>16</v>
      </c>
      <c r="S16" s="274">
        <v>15</v>
      </c>
      <c r="T16" s="274">
        <v>14</v>
      </c>
      <c r="U16" s="274">
        <v>12</v>
      </c>
      <c r="V16" s="274">
        <v>10</v>
      </c>
      <c r="W16" s="274">
        <v>9</v>
      </c>
      <c r="X16" s="268"/>
    </row>
    <row r="17" spans="1:24" ht="15.75" customHeight="1" x14ac:dyDescent="0.15">
      <c r="A17" s="278">
        <f t="shared" si="0"/>
        <v>18.888888888888889</v>
      </c>
      <c r="B17" s="279">
        <v>66</v>
      </c>
      <c r="C17" s="282">
        <v>45</v>
      </c>
      <c r="D17" s="274">
        <v>41</v>
      </c>
      <c r="E17" s="274">
        <v>38</v>
      </c>
      <c r="F17" s="274">
        <v>36</v>
      </c>
      <c r="G17" s="274">
        <v>34</v>
      </c>
      <c r="H17" s="274">
        <v>31</v>
      </c>
      <c r="I17" s="274">
        <v>29</v>
      </c>
      <c r="J17" s="274">
        <v>27</v>
      </c>
      <c r="K17" s="274">
        <v>25</v>
      </c>
      <c r="L17" s="274">
        <v>24</v>
      </c>
      <c r="M17" s="274">
        <v>23</v>
      </c>
      <c r="N17" s="274">
        <v>22</v>
      </c>
      <c r="O17" s="274">
        <v>20</v>
      </c>
      <c r="P17" s="274">
        <v>18</v>
      </c>
      <c r="Q17" s="274">
        <v>16</v>
      </c>
      <c r="R17" s="274">
        <v>15</v>
      </c>
      <c r="S17" s="274">
        <v>14</v>
      </c>
      <c r="T17" s="274">
        <v>13</v>
      </c>
      <c r="U17" s="274">
        <v>11</v>
      </c>
      <c r="V17" s="274">
        <v>9</v>
      </c>
      <c r="W17" s="274">
        <v>8</v>
      </c>
      <c r="X17" s="268"/>
    </row>
    <row r="18" spans="1:24" ht="15.75" customHeight="1" x14ac:dyDescent="0.15">
      <c r="A18" s="278">
        <f t="shared" si="0"/>
        <v>19.444444444444443</v>
      </c>
      <c r="B18" s="279">
        <v>67</v>
      </c>
      <c r="C18" s="282">
        <v>41</v>
      </c>
      <c r="D18" s="274">
        <v>38</v>
      </c>
      <c r="E18" s="274">
        <v>35</v>
      </c>
      <c r="F18" s="274">
        <v>33</v>
      </c>
      <c r="G18" s="274">
        <v>31</v>
      </c>
      <c r="H18" s="274">
        <v>29</v>
      </c>
      <c r="I18" s="274">
        <v>27</v>
      </c>
      <c r="J18" s="274">
        <v>25</v>
      </c>
      <c r="K18" s="274">
        <v>23</v>
      </c>
      <c r="L18" s="274">
        <v>22</v>
      </c>
      <c r="M18" s="274">
        <v>21</v>
      </c>
      <c r="N18" s="274">
        <v>20</v>
      </c>
      <c r="O18" s="274">
        <v>18</v>
      </c>
      <c r="P18" s="274">
        <v>16</v>
      </c>
      <c r="Q18" s="274">
        <v>15</v>
      </c>
      <c r="R18" s="274">
        <v>14</v>
      </c>
      <c r="S18" s="274">
        <v>13</v>
      </c>
      <c r="T18" s="274">
        <v>12</v>
      </c>
      <c r="U18" s="274">
        <v>10</v>
      </c>
      <c r="V18" s="274">
        <v>9</v>
      </c>
      <c r="W18" s="274">
        <v>7</v>
      </c>
      <c r="X18" s="268"/>
    </row>
    <row r="19" spans="1:24" ht="15.75" customHeight="1" x14ac:dyDescent="0.15">
      <c r="A19" s="278">
        <f t="shared" si="0"/>
        <v>20</v>
      </c>
      <c r="B19" s="279">
        <v>68</v>
      </c>
      <c r="C19" s="282">
        <v>38</v>
      </c>
      <c r="D19" s="274">
        <v>35</v>
      </c>
      <c r="E19" s="274">
        <v>32</v>
      </c>
      <c r="F19" s="274">
        <v>30</v>
      </c>
      <c r="G19" s="274">
        <v>29</v>
      </c>
      <c r="H19" s="274">
        <v>26</v>
      </c>
      <c r="I19" s="274">
        <v>25</v>
      </c>
      <c r="J19" s="274">
        <v>23</v>
      </c>
      <c r="K19" s="274">
        <v>22</v>
      </c>
      <c r="L19" s="274">
        <v>21</v>
      </c>
      <c r="M19" s="274">
        <v>20</v>
      </c>
      <c r="N19" s="274">
        <v>19</v>
      </c>
      <c r="O19" s="274">
        <v>17</v>
      </c>
      <c r="P19" s="274">
        <v>15</v>
      </c>
      <c r="Q19" s="274">
        <v>14</v>
      </c>
      <c r="R19" s="274">
        <v>13</v>
      </c>
      <c r="S19" s="274">
        <v>12</v>
      </c>
      <c r="T19" s="274">
        <v>11</v>
      </c>
      <c r="U19" s="274">
        <v>9</v>
      </c>
      <c r="V19" s="274">
        <v>8</v>
      </c>
      <c r="W19" s="274">
        <v>7</v>
      </c>
      <c r="X19" s="268"/>
    </row>
    <row r="20" spans="1:24" ht="15.75" customHeight="1" x14ac:dyDescent="0.15">
      <c r="A20" s="278">
        <f t="shared" si="0"/>
        <v>20.555555555555554</v>
      </c>
      <c r="B20" s="279">
        <v>69</v>
      </c>
      <c r="C20" s="282">
        <v>35</v>
      </c>
      <c r="D20" s="274">
        <v>32</v>
      </c>
      <c r="E20" s="274">
        <v>30</v>
      </c>
      <c r="F20" s="274">
        <v>28</v>
      </c>
      <c r="G20" s="274">
        <v>27</v>
      </c>
      <c r="H20" s="274">
        <v>25</v>
      </c>
      <c r="I20" s="274">
        <v>23</v>
      </c>
      <c r="J20" s="274">
        <v>21</v>
      </c>
      <c r="K20" s="274">
        <v>20</v>
      </c>
      <c r="L20" s="274">
        <v>19</v>
      </c>
      <c r="M20" s="274">
        <v>18</v>
      </c>
      <c r="N20" s="274">
        <v>17</v>
      </c>
      <c r="O20" s="274">
        <v>16</v>
      </c>
      <c r="P20" s="274">
        <v>14</v>
      </c>
      <c r="Q20" s="274">
        <v>13</v>
      </c>
      <c r="R20" s="274">
        <v>12</v>
      </c>
      <c r="S20" s="274">
        <v>11</v>
      </c>
      <c r="T20" s="274">
        <v>10</v>
      </c>
      <c r="U20" s="274">
        <v>9</v>
      </c>
      <c r="V20" s="274">
        <v>7</v>
      </c>
      <c r="W20" s="274">
        <v>6</v>
      </c>
      <c r="X20" s="268"/>
    </row>
    <row r="21" spans="1:24" ht="15.75" customHeight="1" x14ac:dyDescent="0.15">
      <c r="A21" s="278">
        <f t="shared" si="0"/>
        <v>21.111111111111111</v>
      </c>
      <c r="B21" s="279">
        <v>70</v>
      </c>
      <c r="C21" s="282">
        <v>33</v>
      </c>
      <c r="D21" s="274">
        <v>30</v>
      </c>
      <c r="E21" s="274">
        <v>28</v>
      </c>
      <c r="F21" s="274">
        <v>26</v>
      </c>
      <c r="G21" s="274">
        <v>25</v>
      </c>
      <c r="H21" s="274">
        <v>23</v>
      </c>
      <c r="I21" s="274">
        <v>21</v>
      </c>
      <c r="J21" s="274">
        <v>20</v>
      </c>
      <c r="K21" s="274">
        <v>19</v>
      </c>
      <c r="L21" s="274">
        <v>18</v>
      </c>
      <c r="M21" s="274">
        <v>17</v>
      </c>
      <c r="N21" s="274">
        <v>16</v>
      </c>
      <c r="O21" s="274">
        <v>14</v>
      </c>
      <c r="P21" s="274">
        <v>13</v>
      </c>
      <c r="Q21" s="274">
        <v>12</v>
      </c>
      <c r="R21" s="274">
        <v>11</v>
      </c>
      <c r="S21" s="274">
        <v>10</v>
      </c>
      <c r="T21" s="274">
        <v>9</v>
      </c>
      <c r="U21" s="274">
        <v>8</v>
      </c>
      <c r="V21" s="274">
        <v>7</v>
      </c>
      <c r="W21" s="274">
        <v>6</v>
      </c>
      <c r="X21" s="268"/>
    </row>
    <row r="22" spans="1:24" ht="15.75" customHeight="1" x14ac:dyDescent="0.15">
      <c r="A22" s="278">
        <f t="shared" si="0"/>
        <v>21.666666666666668</v>
      </c>
      <c r="B22" s="279">
        <v>71</v>
      </c>
      <c r="C22" s="282">
        <v>31</v>
      </c>
      <c r="D22" s="274">
        <v>28</v>
      </c>
      <c r="E22" s="274">
        <v>26</v>
      </c>
      <c r="F22" s="274">
        <v>24</v>
      </c>
      <c r="G22" s="274">
        <v>23</v>
      </c>
      <c r="H22" s="274">
        <v>21</v>
      </c>
      <c r="I22" s="274">
        <v>20</v>
      </c>
      <c r="J22" s="274">
        <v>18</v>
      </c>
      <c r="K22" s="274">
        <v>17</v>
      </c>
      <c r="L22" s="274">
        <v>17</v>
      </c>
      <c r="M22" s="274">
        <v>16</v>
      </c>
      <c r="N22" s="274">
        <v>15</v>
      </c>
      <c r="O22" s="274">
        <v>13</v>
      </c>
      <c r="P22" s="274">
        <v>12</v>
      </c>
      <c r="Q22" s="274">
        <v>11</v>
      </c>
      <c r="R22" s="274">
        <v>10</v>
      </c>
      <c r="S22" s="274">
        <v>9</v>
      </c>
      <c r="T22" s="274">
        <v>9</v>
      </c>
      <c r="U22" s="274">
        <v>7</v>
      </c>
      <c r="V22" s="274">
        <v>6</v>
      </c>
      <c r="W22" s="274">
        <v>6</v>
      </c>
      <c r="X22" s="268"/>
    </row>
    <row r="23" spans="1:24" ht="15.75" customHeight="1" x14ac:dyDescent="0.15">
      <c r="A23" s="278">
        <f t="shared" si="0"/>
        <v>22.222222222222221</v>
      </c>
      <c r="B23" s="279">
        <v>72</v>
      </c>
      <c r="C23" s="282">
        <v>29</v>
      </c>
      <c r="D23" s="274">
        <v>26</v>
      </c>
      <c r="E23" s="274">
        <v>24</v>
      </c>
      <c r="F23" s="274">
        <v>23</v>
      </c>
      <c r="G23" s="274">
        <v>22</v>
      </c>
      <c r="H23" s="274">
        <v>20</v>
      </c>
      <c r="I23" s="274">
        <v>18</v>
      </c>
      <c r="J23" s="274">
        <v>17</v>
      </c>
      <c r="K23" s="274">
        <v>16</v>
      </c>
      <c r="L23" s="274">
        <v>15</v>
      </c>
      <c r="M23" s="274">
        <v>15</v>
      </c>
      <c r="N23" s="274">
        <v>14</v>
      </c>
      <c r="O23" s="274">
        <v>13</v>
      </c>
      <c r="P23" s="274">
        <v>11</v>
      </c>
      <c r="Q23" s="274">
        <v>10</v>
      </c>
      <c r="R23" s="274">
        <v>10</v>
      </c>
      <c r="S23" s="274">
        <v>9</v>
      </c>
      <c r="T23" s="274">
        <v>8</v>
      </c>
      <c r="U23" s="274">
        <v>7</v>
      </c>
      <c r="V23" s="274">
        <v>6</v>
      </c>
      <c r="W23" s="274">
        <v>5</v>
      </c>
      <c r="X23" s="268"/>
    </row>
    <row r="24" spans="1:24" ht="15.75" customHeight="1" x14ac:dyDescent="0.15">
      <c r="A24" s="278">
        <f t="shared" si="0"/>
        <v>22.777777777777779</v>
      </c>
      <c r="B24" s="279">
        <v>73</v>
      </c>
      <c r="C24" s="282">
        <v>27</v>
      </c>
      <c r="D24" s="274">
        <v>25</v>
      </c>
      <c r="E24" s="274">
        <v>23</v>
      </c>
      <c r="F24" s="274">
        <v>22</v>
      </c>
      <c r="G24" s="274">
        <v>20</v>
      </c>
      <c r="H24" s="274">
        <v>19</v>
      </c>
      <c r="I24" s="274">
        <v>17</v>
      </c>
      <c r="J24" s="274">
        <v>16</v>
      </c>
      <c r="K24" s="274">
        <v>15</v>
      </c>
      <c r="L24" s="274">
        <v>15</v>
      </c>
      <c r="M24" s="274">
        <v>14</v>
      </c>
      <c r="N24" s="274">
        <v>13</v>
      </c>
      <c r="O24" s="274">
        <v>12</v>
      </c>
      <c r="P24" s="274">
        <v>11</v>
      </c>
      <c r="Q24" s="274">
        <v>10</v>
      </c>
      <c r="R24" s="274">
        <v>9</v>
      </c>
      <c r="S24" s="274">
        <v>8</v>
      </c>
      <c r="T24" s="274">
        <v>8</v>
      </c>
      <c r="U24" s="274">
        <v>7</v>
      </c>
      <c r="V24" s="274">
        <v>6</v>
      </c>
      <c r="W24" s="274">
        <v>5</v>
      </c>
      <c r="X24" s="268"/>
    </row>
    <row r="25" spans="1:24" ht="15.75" customHeight="1" x14ac:dyDescent="0.15">
      <c r="A25" s="278">
        <f t="shared" si="0"/>
        <v>23.333333333333332</v>
      </c>
      <c r="B25" s="279">
        <v>74</v>
      </c>
      <c r="C25" s="282">
        <v>25</v>
      </c>
      <c r="D25" s="274">
        <v>23</v>
      </c>
      <c r="E25" s="274">
        <v>22</v>
      </c>
      <c r="F25" s="274">
        <v>20</v>
      </c>
      <c r="G25" s="274">
        <v>19</v>
      </c>
      <c r="H25" s="274">
        <v>18</v>
      </c>
      <c r="I25" s="274">
        <v>16</v>
      </c>
      <c r="J25" s="274">
        <v>15</v>
      </c>
      <c r="K25" s="274">
        <v>14</v>
      </c>
      <c r="L25" s="274">
        <v>14</v>
      </c>
      <c r="M25" s="274">
        <v>13</v>
      </c>
      <c r="N25" s="274">
        <v>12</v>
      </c>
      <c r="O25" s="274">
        <v>11</v>
      </c>
      <c r="P25" s="274">
        <v>10</v>
      </c>
      <c r="Q25" s="274">
        <v>9</v>
      </c>
      <c r="R25" s="274">
        <v>8</v>
      </c>
      <c r="S25" s="274">
        <v>8</v>
      </c>
      <c r="T25" s="274">
        <v>7</v>
      </c>
      <c r="U25" s="274">
        <v>6</v>
      </c>
      <c r="V25" s="274">
        <v>5</v>
      </c>
      <c r="W25" s="274">
        <v>5</v>
      </c>
      <c r="X25" s="268"/>
    </row>
    <row r="26" spans="1:24" ht="15.75" customHeight="1" x14ac:dyDescent="0.15">
      <c r="A26" s="278">
        <f t="shared" si="0"/>
        <v>23.888888888888889</v>
      </c>
      <c r="B26" s="279">
        <v>75</v>
      </c>
      <c r="C26" s="282">
        <v>24</v>
      </c>
      <c r="D26" s="274">
        <v>22</v>
      </c>
      <c r="E26" s="274">
        <v>20</v>
      </c>
      <c r="F26" s="274">
        <v>19</v>
      </c>
      <c r="G26" s="274">
        <v>18</v>
      </c>
      <c r="H26" s="274">
        <v>17</v>
      </c>
      <c r="I26" s="274">
        <v>15</v>
      </c>
      <c r="J26" s="274">
        <v>15</v>
      </c>
      <c r="K26" s="274">
        <v>14</v>
      </c>
      <c r="L26" s="274">
        <v>13</v>
      </c>
      <c r="M26" s="274">
        <v>12</v>
      </c>
      <c r="N26" s="274">
        <v>12</v>
      </c>
      <c r="O26" s="274">
        <v>11</v>
      </c>
      <c r="P26" s="274">
        <v>10</v>
      </c>
      <c r="Q26" s="274">
        <v>9</v>
      </c>
      <c r="R26" s="274">
        <v>8</v>
      </c>
      <c r="S26" s="274">
        <v>7</v>
      </c>
      <c r="T26" s="274">
        <v>7</v>
      </c>
      <c r="U26" s="274">
        <v>6</v>
      </c>
      <c r="V26" s="274">
        <v>5</v>
      </c>
      <c r="W26" s="274">
        <v>4</v>
      </c>
      <c r="X26" s="268"/>
    </row>
    <row r="27" spans="1:24" ht="15.75" customHeight="1" x14ac:dyDescent="0.15">
      <c r="A27" s="278">
        <f t="shared" si="0"/>
        <v>24.444444444444443</v>
      </c>
      <c r="B27" s="279">
        <v>76</v>
      </c>
      <c r="C27" s="282">
        <v>23</v>
      </c>
      <c r="D27" s="274">
        <v>21</v>
      </c>
      <c r="E27" s="274">
        <v>19</v>
      </c>
      <c r="F27" s="274">
        <v>18</v>
      </c>
      <c r="G27" s="274">
        <v>17</v>
      </c>
      <c r="H27" s="274">
        <v>16</v>
      </c>
      <c r="I27" s="274">
        <v>15</v>
      </c>
      <c r="J27" s="274">
        <v>14</v>
      </c>
      <c r="K27" s="274">
        <v>13</v>
      </c>
      <c r="L27" s="274">
        <v>12</v>
      </c>
      <c r="M27" s="274">
        <v>12</v>
      </c>
      <c r="N27" s="274">
        <v>11</v>
      </c>
      <c r="O27" s="274">
        <v>10</v>
      </c>
      <c r="P27" s="274">
        <v>9</v>
      </c>
      <c r="Q27" s="274">
        <v>8</v>
      </c>
      <c r="R27" s="274">
        <v>8</v>
      </c>
      <c r="S27" s="274">
        <v>7</v>
      </c>
      <c r="T27" s="274">
        <v>7</v>
      </c>
      <c r="U27" s="274">
        <v>6</v>
      </c>
      <c r="V27" s="274">
        <v>5</v>
      </c>
      <c r="W27" s="274">
        <v>4</v>
      </c>
      <c r="X27" s="268"/>
    </row>
    <row r="28" spans="1:24" ht="15.75" customHeight="1" x14ac:dyDescent="0.15">
      <c r="A28" s="278">
        <f t="shared" si="0"/>
        <v>25</v>
      </c>
      <c r="B28" s="279">
        <v>77</v>
      </c>
      <c r="C28" s="282">
        <v>22</v>
      </c>
      <c r="D28" s="274">
        <v>20</v>
      </c>
      <c r="E28" s="274">
        <v>19</v>
      </c>
      <c r="F28" s="274">
        <v>17</v>
      </c>
      <c r="G28" s="274">
        <v>17</v>
      </c>
      <c r="H28" s="274">
        <v>15</v>
      </c>
      <c r="I28" s="274">
        <v>14</v>
      </c>
      <c r="J28" s="274">
        <v>13</v>
      </c>
      <c r="K28" s="274">
        <v>12</v>
      </c>
      <c r="L28" s="274">
        <v>12</v>
      </c>
      <c r="M28" s="274">
        <v>11</v>
      </c>
      <c r="N28" s="274">
        <v>11</v>
      </c>
      <c r="O28" s="274">
        <v>10</v>
      </c>
      <c r="P28" s="274">
        <v>9</v>
      </c>
      <c r="Q28" s="274">
        <v>8</v>
      </c>
      <c r="R28" s="274">
        <v>7</v>
      </c>
      <c r="S28" s="274">
        <v>7</v>
      </c>
      <c r="T28" s="274">
        <v>6</v>
      </c>
      <c r="U28" s="274">
        <v>5</v>
      </c>
      <c r="V28" s="274">
        <v>5</v>
      </c>
      <c r="W28" s="274">
        <v>4</v>
      </c>
      <c r="X28" s="268"/>
    </row>
    <row r="29" spans="1:24" ht="15.75" customHeight="1" x14ac:dyDescent="0.15">
      <c r="A29" s="278">
        <f t="shared" si="0"/>
        <v>25.555555555555554</v>
      </c>
      <c r="B29" s="279">
        <v>78</v>
      </c>
      <c r="C29" s="282">
        <v>21</v>
      </c>
      <c r="D29" s="274">
        <v>19</v>
      </c>
      <c r="E29" s="274">
        <v>18</v>
      </c>
      <c r="F29" s="274">
        <v>17</v>
      </c>
      <c r="G29" s="274">
        <v>16</v>
      </c>
      <c r="H29" s="274">
        <v>15</v>
      </c>
      <c r="I29" s="274">
        <v>14</v>
      </c>
      <c r="J29" s="274">
        <v>13</v>
      </c>
      <c r="K29" s="274">
        <v>12</v>
      </c>
      <c r="L29" s="274">
        <v>11</v>
      </c>
      <c r="M29" s="274">
        <v>11</v>
      </c>
      <c r="N29" s="274">
        <v>10</v>
      </c>
      <c r="O29" s="274">
        <v>9</v>
      </c>
      <c r="P29" s="274">
        <v>8</v>
      </c>
      <c r="Q29" s="274">
        <v>8</v>
      </c>
      <c r="R29" s="274">
        <v>7</v>
      </c>
      <c r="S29" s="274">
        <v>6</v>
      </c>
      <c r="T29" s="274">
        <v>6</v>
      </c>
      <c r="U29" s="274">
        <v>5</v>
      </c>
      <c r="V29" s="274">
        <v>4</v>
      </c>
      <c r="W29" s="274">
        <v>4</v>
      </c>
      <c r="X29" s="268"/>
    </row>
    <row r="30" spans="1:24" ht="15.75" customHeight="1" x14ac:dyDescent="0.15">
      <c r="A30" s="278">
        <f t="shared" si="0"/>
        <v>26.111111111111111</v>
      </c>
      <c r="B30" s="279">
        <v>79</v>
      </c>
      <c r="C30" s="282">
        <v>20</v>
      </c>
      <c r="D30" s="274">
        <v>19</v>
      </c>
      <c r="E30" s="274">
        <v>17</v>
      </c>
      <c r="F30" s="274">
        <v>16</v>
      </c>
      <c r="G30" s="274">
        <v>15</v>
      </c>
      <c r="H30" s="274">
        <v>14</v>
      </c>
      <c r="I30" s="274">
        <v>13</v>
      </c>
      <c r="J30" s="274">
        <v>12</v>
      </c>
      <c r="K30" s="274">
        <v>12</v>
      </c>
      <c r="L30" s="274">
        <v>11</v>
      </c>
      <c r="M30" s="274">
        <v>10</v>
      </c>
      <c r="N30" s="274">
        <v>10</v>
      </c>
      <c r="O30" s="274">
        <v>9</v>
      </c>
      <c r="P30" s="274">
        <v>8</v>
      </c>
      <c r="Q30" s="274">
        <v>7</v>
      </c>
      <c r="R30" s="274">
        <v>7</v>
      </c>
      <c r="S30" s="274">
        <v>6</v>
      </c>
      <c r="T30" s="274">
        <v>6</v>
      </c>
      <c r="U30" s="274">
        <v>5</v>
      </c>
      <c r="V30" s="274">
        <v>4</v>
      </c>
      <c r="W30" s="274">
        <v>4</v>
      </c>
      <c r="X30" s="268"/>
    </row>
    <row r="31" spans="1:24" ht="15.75" customHeight="1" x14ac:dyDescent="0.15">
      <c r="A31" s="278">
        <f t="shared" si="0"/>
        <v>26.666666666666664</v>
      </c>
      <c r="B31" s="279">
        <v>80</v>
      </c>
      <c r="C31" s="282">
        <v>20</v>
      </c>
      <c r="D31" s="274">
        <v>18</v>
      </c>
      <c r="E31" s="274">
        <v>17</v>
      </c>
      <c r="F31" s="274">
        <v>16</v>
      </c>
      <c r="G31" s="274">
        <v>15</v>
      </c>
      <c r="H31" s="274">
        <v>14</v>
      </c>
      <c r="I31" s="274">
        <v>13</v>
      </c>
      <c r="J31" s="274">
        <v>12</v>
      </c>
      <c r="K31" s="274">
        <v>11</v>
      </c>
      <c r="L31" s="274">
        <v>11</v>
      </c>
      <c r="M31" s="274">
        <v>10</v>
      </c>
      <c r="N31" s="274">
        <v>10</v>
      </c>
      <c r="O31" s="274">
        <v>9</v>
      </c>
      <c r="P31" s="274">
        <v>8</v>
      </c>
      <c r="Q31" s="274">
        <v>7</v>
      </c>
      <c r="R31" s="274">
        <v>7</v>
      </c>
      <c r="S31" s="274">
        <v>6</v>
      </c>
      <c r="T31" s="274">
        <v>6</v>
      </c>
      <c r="U31" s="274">
        <v>5</v>
      </c>
      <c r="V31" s="274">
        <v>4</v>
      </c>
      <c r="W31" s="274">
        <v>4</v>
      </c>
      <c r="X31" s="268"/>
    </row>
    <row r="32" spans="1:24" ht="13" x14ac:dyDescent="0.15">
      <c r="A32" s="278">
        <f t="shared" si="0"/>
        <v>27.222222222222221</v>
      </c>
      <c r="B32" s="279">
        <v>81</v>
      </c>
      <c r="C32" s="282">
        <v>20</v>
      </c>
      <c r="D32" s="274">
        <v>18</v>
      </c>
      <c r="E32" s="274">
        <v>16</v>
      </c>
      <c r="F32" s="274">
        <v>16</v>
      </c>
      <c r="G32" s="274">
        <v>15</v>
      </c>
      <c r="H32" s="274">
        <v>13</v>
      </c>
      <c r="I32" s="274">
        <v>13</v>
      </c>
      <c r="J32" s="274">
        <v>12</v>
      </c>
      <c r="K32" s="274">
        <v>11</v>
      </c>
      <c r="L32" s="274">
        <v>10</v>
      </c>
      <c r="M32" s="274">
        <v>10</v>
      </c>
      <c r="N32" s="274">
        <v>10</v>
      </c>
      <c r="O32" s="274">
        <v>9</v>
      </c>
      <c r="P32" s="274">
        <v>8</v>
      </c>
      <c r="Q32" s="274">
        <v>7</v>
      </c>
      <c r="R32" s="274">
        <v>6</v>
      </c>
      <c r="S32" s="274">
        <v>6</v>
      </c>
      <c r="T32" s="274">
        <v>6</v>
      </c>
      <c r="U32" s="274">
        <v>5</v>
      </c>
      <c r="V32" s="274">
        <v>4</v>
      </c>
      <c r="W32" s="274">
        <v>3</v>
      </c>
      <c r="X32" s="268"/>
    </row>
    <row r="33" spans="1:24" ht="13" x14ac:dyDescent="0.15">
      <c r="A33" s="278">
        <f t="shared" si="0"/>
        <v>27.777777777777779</v>
      </c>
      <c r="B33" s="279">
        <v>82</v>
      </c>
      <c r="C33" s="282">
        <v>19</v>
      </c>
      <c r="D33" s="274">
        <v>18</v>
      </c>
      <c r="E33" s="274">
        <v>16</v>
      </c>
      <c r="F33" s="274">
        <v>15</v>
      </c>
      <c r="G33" s="274">
        <v>15</v>
      </c>
      <c r="H33" s="274">
        <v>13</v>
      </c>
      <c r="I33" s="274">
        <v>12</v>
      </c>
      <c r="J33" s="274">
        <v>12</v>
      </c>
      <c r="K33" s="274">
        <v>11</v>
      </c>
      <c r="L33" s="274">
        <v>10</v>
      </c>
      <c r="M33" s="274">
        <v>10</v>
      </c>
      <c r="N33" s="274">
        <v>9</v>
      </c>
      <c r="O33" s="274">
        <v>8</v>
      </c>
      <c r="P33" s="274">
        <v>8</v>
      </c>
      <c r="Q33" s="274">
        <v>7</v>
      </c>
      <c r="R33" s="274">
        <v>6</v>
      </c>
      <c r="S33" s="274">
        <v>6</v>
      </c>
      <c r="T33" s="274">
        <v>5</v>
      </c>
      <c r="U33" s="274">
        <v>5</v>
      </c>
      <c r="V33" s="274">
        <v>4</v>
      </c>
      <c r="W33" s="274">
        <v>3</v>
      </c>
      <c r="X33" s="268"/>
    </row>
    <row r="34" spans="1:24" ht="13" x14ac:dyDescent="0.15">
      <c r="A34" s="278">
        <f t="shared" si="0"/>
        <v>28.333333333333332</v>
      </c>
      <c r="B34" s="279">
        <v>83</v>
      </c>
      <c r="C34" s="282">
        <v>19</v>
      </c>
      <c r="D34" s="274">
        <v>17</v>
      </c>
      <c r="E34" s="274">
        <v>16</v>
      </c>
      <c r="F34" s="274">
        <v>15</v>
      </c>
      <c r="G34" s="274">
        <v>15</v>
      </c>
      <c r="H34" s="274">
        <v>13</v>
      </c>
      <c r="I34" s="274">
        <v>12</v>
      </c>
      <c r="J34" s="274">
        <v>12</v>
      </c>
      <c r="K34" s="274">
        <v>11</v>
      </c>
      <c r="L34" s="274">
        <v>10</v>
      </c>
      <c r="M34" s="274">
        <v>10</v>
      </c>
      <c r="N34" s="274">
        <v>9</v>
      </c>
      <c r="O34" s="274">
        <v>8</v>
      </c>
      <c r="P34" s="274">
        <v>8</v>
      </c>
      <c r="Q34" s="274">
        <v>7</v>
      </c>
      <c r="R34" s="274">
        <v>6</v>
      </c>
      <c r="S34" s="274">
        <v>6</v>
      </c>
      <c r="T34" s="274">
        <v>5</v>
      </c>
      <c r="U34" s="274">
        <v>5</v>
      </c>
      <c r="V34" s="274">
        <v>4</v>
      </c>
      <c r="W34" s="274">
        <v>3</v>
      </c>
      <c r="X34" s="268"/>
    </row>
    <row r="35" spans="1:24" ht="13" x14ac:dyDescent="0.15">
      <c r="A35" s="278">
        <f t="shared" si="0"/>
        <v>28.888888888888889</v>
      </c>
      <c r="B35" s="279">
        <v>84</v>
      </c>
      <c r="C35" s="282">
        <v>19</v>
      </c>
      <c r="D35" s="274">
        <v>18</v>
      </c>
      <c r="E35" s="274">
        <v>16</v>
      </c>
      <c r="F35" s="274">
        <v>15</v>
      </c>
      <c r="G35" s="274">
        <v>15</v>
      </c>
      <c r="H35" s="274">
        <v>13</v>
      </c>
      <c r="I35" s="274">
        <v>12</v>
      </c>
      <c r="J35" s="274">
        <v>12</v>
      </c>
      <c r="K35" s="274">
        <v>11</v>
      </c>
      <c r="L35" s="274">
        <v>10</v>
      </c>
      <c r="M35" s="274">
        <v>10</v>
      </c>
      <c r="N35" s="274">
        <v>9</v>
      </c>
      <c r="O35" s="274">
        <v>8</v>
      </c>
      <c r="P35" s="274">
        <v>8</v>
      </c>
      <c r="Q35" s="274">
        <v>7</v>
      </c>
      <c r="R35" s="274">
        <v>6</v>
      </c>
      <c r="S35" s="274">
        <v>6</v>
      </c>
      <c r="T35" s="274">
        <v>5</v>
      </c>
      <c r="U35" s="274">
        <v>5</v>
      </c>
      <c r="V35" s="274">
        <v>4</v>
      </c>
      <c r="W35" s="274">
        <v>3</v>
      </c>
      <c r="X35" s="268"/>
    </row>
    <row r="36" spans="1:24" ht="13" x14ac:dyDescent="0.15">
      <c r="A36" s="278">
        <f t="shared" si="0"/>
        <v>29.444444444444443</v>
      </c>
      <c r="B36" s="279">
        <v>85</v>
      </c>
      <c r="C36" s="282">
        <v>20</v>
      </c>
      <c r="D36" s="274">
        <v>18</v>
      </c>
      <c r="E36" s="274">
        <v>17</v>
      </c>
      <c r="F36" s="274">
        <v>16</v>
      </c>
      <c r="G36" s="274">
        <v>15</v>
      </c>
      <c r="H36" s="274">
        <v>14</v>
      </c>
      <c r="I36" s="274">
        <v>13</v>
      </c>
      <c r="J36" s="274">
        <v>12</v>
      </c>
      <c r="K36" s="274">
        <v>11</v>
      </c>
      <c r="L36" s="274">
        <v>11</v>
      </c>
      <c r="M36" s="274">
        <v>10</v>
      </c>
      <c r="N36" s="274">
        <v>10</v>
      </c>
      <c r="O36" s="274">
        <v>9</v>
      </c>
      <c r="P36" s="274">
        <v>8</v>
      </c>
      <c r="Q36" s="274">
        <v>7</v>
      </c>
      <c r="R36" s="274">
        <v>7</v>
      </c>
      <c r="S36" s="274">
        <v>6</v>
      </c>
      <c r="T36" s="274">
        <v>6</v>
      </c>
      <c r="U36" s="274">
        <v>5</v>
      </c>
      <c r="V36" s="274">
        <v>4</v>
      </c>
      <c r="W36" s="274">
        <v>4</v>
      </c>
      <c r="X36" s="268"/>
    </row>
    <row r="37" spans="1:24" ht="13" x14ac:dyDescent="0.15">
      <c r="A37" s="278">
        <f t="shared" si="0"/>
        <v>30</v>
      </c>
      <c r="B37" s="279">
        <v>86</v>
      </c>
      <c r="C37" s="282">
        <v>20</v>
      </c>
      <c r="D37" s="274">
        <v>18</v>
      </c>
      <c r="E37" s="274">
        <v>17</v>
      </c>
      <c r="F37" s="274">
        <v>16</v>
      </c>
      <c r="G37" s="274">
        <v>15</v>
      </c>
      <c r="H37" s="274">
        <v>14</v>
      </c>
      <c r="I37" s="274">
        <v>13</v>
      </c>
      <c r="J37" s="274">
        <v>12</v>
      </c>
      <c r="K37" s="274">
        <v>11</v>
      </c>
      <c r="L37" s="274">
        <v>11</v>
      </c>
      <c r="M37" s="274">
        <v>10</v>
      </c>
      <c r="N37" s="274">
        <v>10</v>
      </c>
      <c r="O37" s="274">
        <v>9</v>
      </c>
      <c r="P37" s="274">
        <v>8</v>
      </c>
      <c r="Q37" s="274">
        <v>7</v>
      </c>
      <c r="R37" s="274">
        <v>7</v>
      </c>
      <c r="S37" s="274">
        <v>6</v>
      </c>
      <c r="T37" s="274">
        <v>6</v>
      </c>
      <c r="U37" s="274">
        <v>5</v>
      </c>
      <c r="V37" s="274">
        <v>4</v>
      </c>
      <c r="W37" s="274">
        <v>4</v>
      </c>
      <c r="X37" s="268"/>
    </row>
    <row r="38" spans="1:24" ht="13" x14ac:dyDescent="0.15">
      <c r="A38" s="278">
        <f t="shared" ref="A38:A41" si="1">(B38-32)/1.8</f>
        <v>30.555555555555554</v>
      </c>
      <c r="B38" s="279">
        <v>87</v>
      </c>
      <c r="C38" s="282">
        <v>21</v>
      </c>
      <c r="D38" s="274">
        <v>19</v>
      </c>
      <c r="E38" s="274">
        <v>18</v>
      </c>
      <c r="F38" s="274">
        <v>17</v>
      </c>
      <c r="G38" s="274">
        <v>16</v>
      </c>
      <c r="H38" s="274">
        <v>15</v>
      </c>
      <c r="I38" s="274">
        <v>14</v>
      </c>
      <c r="J38" s="274">
        <v>13</v>
      </c>
      <c r="K38" s="274">
        <v>12</v>
      </c>
      <c r="L38" s="274">
        <v>11</v>
      </c>
      <c r="M38" s="274">
        <v>11</v>
      </c>
      <c r="N38" s="274">
        <v>10</v>
      </c>
      <c r="O38" s="274">
        <v>9</v>
      </c>
      <c r="P38" s="274">
        <v>8</v>
      </c>
      <c r="Q38" s="274">
        <v>8</v>
      </c>
      <c r="R38" s="274">
        <v>7</v>
      </c>
      <c r="S38" s="274">
        <v>6</v>
      </c>
      <c r="T38" s="274">
        <v>6</v>
      </c>
      <c r="U38" s="274">
        <v>5</v>
      </c>
      <c r="V38" s="274">
        <v>4</v>
      </c>
      <c r="W38" s="274">
        <v>4</v>
      </c>
      <c r="X38" s="268"/>
    </row>
    <row r="39" spans="1:24" ht="13" x14ac:dyDescent="0.15">
      <c r="A39" s="278">
        <f t="shared" si="1"/>
        <v>31.111111111111111</v>
      </c>
      <c r="B39" s="279">
        <v>88</v>
      </c>
      <c r="C39" s="282">
        <v>22</v>
      </c>
      <c r="D39" s="274">
        <v>20</v>
      </c>
      <c r="E39" s="274">
        <v>19</v>
      </c>
      <c r="F39" s="274">
        <v>18</v>
      </c>
      <c r="G39" s="274">
        <v>17</v>
      </c>
      <c r="H39" s="274">
        <v>15</v>
      </c>
      <c r="I39" s="274">
        <v>14</v>
      </c>
      <c r="J39" s="274">
        <v>13</v>
      </c>
      <c r="K39" s="274">
        <v>13</v>
      </c>
      <c r="L39" s="274">
        <v>12</v>
      </c>
      <c r="M39" s="274">
        <v>11</v>
      </c>
      <c r="N39" s="274">
        <v>11</v>
      </c>
      <c r="O39" s="274">
        <v>10</v>
      </c>
      <c r="P39" s="274">
        <v>9</v>
      </c>
      <c r="Q39" s="274">
        <v>8</v>
      </c>
      <c r="R39" s="274">
        <v>7</v>
      </c>
      <c r="S39" s="274">
        <v>7</v>
      </c>
      <c r="T39" s="274">
        <v>6</v>
      </c>
      <c r="U39" s="274">
        <v>5</v>
      </c>
      <c r="V39" s="274">
        <v>5</v>
      </c>
      <c r="W39" s="274">
        <v>4</v>
      </c>
      <c r="X39" s="268"/>
    </row>
    <row r="40" spans="1:24" ht="13" x14ac:dyDescent="0.15">
      <c r="A40" s="278">
        <f t="shared" si="1"/>
        <v>31.666666666666664</v>
      </c>
      <c r="B40" s="279">
        <v>89</v>
      </c>
      <c r="C40" s="282">
        <v>24</v>
      </c>
      <c r="D40" s="274">
        <v>22</v>
      </c>
      <c r="E40" s="274">
        <v>20</v>
      </c>
      <c r="F40" s="274">
        <v>19</v>
      </c>
      <c r="G40" s="274">
        <v>18</v>
      </c>
      <c r="H40" s="274">
        <v>16</v>
      </c>
      <c r="I40" s="274">
        <v>15</v>
      </c>
      <c r="J40" s="274">
        <v>14</v>
      </c>
      <c r="K40" s="274">
        <v>13</v>
      </c>
      <c r="L40" s="274">
        <v>13</v>
      </c>
      <c r="M40" s="274">
        <v>12</v>
      </c>
      <c r="N40" s="274">
        <v>12</v>
      </c>
      <c r="O40" s="274">
        <v>10</v>
      </c>
      <c r="P40" s="274">
        <v>9</v>
      </c>
      <c r="Q40" s="274">
        <v>9</v>
      </c>
      <c r="R40" s="274">
        <v>8</v>
      </c>
      <c r="S40" s="274">
        <v>7</v>
      </c>
      <c r="T40" s="274">
        <v>7</v>
      </c>
      <c r="U40" s="274">
        <v>6</v>
      </c>
      <c r="V40" s="274">
        <v>5</v>
      </c>
      <c r="W40" s="274">
        <v>4</v>
      </c>
      <c r="X40" s="268"/>
    </row>
    <row r="41" spans="1:24" ht="13" x14ac:dyDescent="0.15">
      <c r="A41" s="278">
        <f t="shared" si="1"/>
        <v>32.222222222222221</v>
      </c>
      <c r="B41" s="279">
        <v>90</v>
      </c>
      <c r="C41" s="282">
        <v>26</v>
      </c>
      <c r="D41" s="274">
        <v>23</v>
      </c>
      <c r="E41" s="274">
        <v>22</v>
      </c>
      <c r="F41" s="274">
        <v>20</v>
      </c>
      <c r="G41" s="274">
        <v>19</v>
      </c>
      <c r="H41" s="274">
        <v>16</v>
      </c>
      <c r="I41" s="274">
        <v>16</v>
      </c>
      <c r="J41" s="274">
        <v>15</v>
      </c>
      <c r="K41" s="274">
        <v>15</v>
      </c>
      <c r="L41" s="274">
        <v>14</v>
      </c>
      <c r="M41" s="274">
        <v>13</v>
      </c>
      <c r="N41" s="274">
        <v>12</v>
      </c>
      <c r="O41" s="274">
        <v>11</v>
      </c>
      <c r="P41" s="274">
        <v>10</v>
      </c>
      <c r="Q41" s="274">
        <v>9</v>
      </c>
      <c r="R41" s="274">
        <v>9</v>
      </c>
      <c r="S41" s="274">
        <v>8</v>
      </c>
      <c r="T41" s="274">
        <v>7</v>
      </c>
      <c r="U41" s="274">
        <v>6</v>
      </c>
      <c r="V41" s="274">
        <v>5</v>
      </c>
      <c r="W41" s="274">
        <v>5</v>
      </c>
      <c r="X41" s="268"/>
    </row>
    <row r="42" spans="1:24" ht="13" x14ac:dyDescent="0.15">
      <c r="A42" s="278"/>
      <c r="B42" s="279"/>
      <c r="C42" s="274"/>
      <c r="D42" s="274"/>
      <c r="E42" s="274"/>
      <c r="F42" s="274"/>
      <c r="G42" s="274"/>
      <c r="H42" s="274"/>
      <c r="I42" s="274"/>
      <c r="J42" s="274"/>
      <c r="K42" s="274"/>
      <c r="L42" s="274"/>
      <c r="M42" s="274"/>
      <c r="N42" s="274"/>
      <c r="O42" s="274"/>
      <c r="P42" s="274"/>
      <c r="Q42" s="274"/>
      <c r="R42" s="274"/>
      <c r="S42" s="274"/>
      <c r="T42" s="274"/>
      <c r="U42" s="274"/>
      <c r="V42" s="274"/>
      <c r="W42" s="274"/>
      <c r="X42" s="268"/>
    </row>
    <row r="43" spans="1:24" ht="13" x14ac:dyDescent="0.15">
      <c r="A43" s="265"/>
      <c r="B43" s="264"/>
      <c r="C43" s="263"/>
      <c r="D43" s="263"/>
      <c r="E43" s="263"/>
      <c r="F43" s="263"/>
      <c r="G43" s="263"/>
      <c r="H43" s="263"/>
      <c r="I43" s="263"/>
      <c r="J43" s="263"/>
      <c r="K43" s="263"/>
      <c r="L43" s="263"/>
      <c r="M43" s="263"/>
      <c r="N43" s="263"/>
      <c r="O43" s="263"/>
      <c r="P43" s="263"/>
      <c r="Q43" s="263"/>
      <c r="R43" s="263"/>
      <c r="S43" s="263"/>
      <c r="T43" s="263"/>
      <c r="U43" s="263"/>
      <c r="V43" s="263"/>
      <c r="W43" s="263"/>
    </row>
    <row r="44" spans="1:24" ht="13" x14ac:dyDescent="0.15">
      <c r="A44" s="265"/>
      <c r="B44" s="264"/>
      <c r="C44" s="263"/>
      <c r="D44" s="263"/>
      <c r="E44" s="263"/>
      <c r="F44" s="263"/>
      <c r="G44" s="263"/>
      <c r="H44" s="263"/>
      <c r="I44" s="263"/>
      <c r="J44" s="263"/>
      <c r="K44" s="263"/>
      <c r="L44" s="263"/>
      <c r="M44" s="263"/>
      <c r="N44" s="263"/>
      <c r="O44" s="263"/>
      <c r="P44" s="263"/>
      <c r="Q44" s="263"/>
      <c r="R44" s="263"/>
      <c r="S44" s="263"/>
      <c r="T44" s="263"/>
      <c r="U44" s="263"/>
      <c r="V44" s="263"/>
      <c r="W44" s="263"/>
    </row>
    <row r="45" spans="1:24" ht="13" x14ac:dyDescent="0.15">
      <c r="A45" s="265"/>
      <c r="B45" s="264"/>
      <c r="C45" s="263"/>
      <c r="D45" s="263"/>
      <c r="E45" s="263"/>
      <c r="F45" s="263"/>
      <c r="G45" s="263"/>
      <c r="H45" s="263"/>
      <c r="I45" s="263"/>
      <c r="J45" s="263"/>
      <c r="K45" s="263"/>
      <c r="L45" s="263"/>
      <c r="M45" s="263"/>
      <c r="N45" s="263"/>
      <c r="O45" s="263"/>
      <c r="P45" s="263"/>
      <c r="Q45" s="263"/>
      <c r="R45" s="263"/>
      <c r="S45" s="263"/>
      <c r="T45" s="263"/>
      <c r="U45" s="263"/>
      <c r="V45" s="263"/>
      <c r="W45" s="263"/>
    </row>
    <row r="46" spans="1:24" ht="13" x14ac:dyDescent="0.15">
      <c r="A46" s="265"/>
      <c r="B46" s="264"/>
      <c r="C46" s="263"/>
      <c r="D46" s="263"/>
      <c r="E46" s="263"/>
      <c r="F46" s="263"/>
      <c r="G46" s="263"/>
      <c r="H46" s="263"/>
      <c r="I46" s="263"/>
      <c r="J46" s="263"/>
      <c r="K46" s="263"/>
      <c r="L46" s="263"/>
      <c r="M46" s="263"/>
      <c r="N46" s="263"/>
      <c r="O46" s="263"/>
      <c r="P46" s="263"/>
      <c r="Q46" s="263"/>
      <c r="R46" s="263"/>
      <c r="S46" s="263"/>
      <c r="T46" s="263"/>
      <c r="U46" s="263"/>
      <c r="V46" s="263"/>
      <c r="W46" s="263"/>
    </row>
    <row r="47" spans="1:24" ht="13" x14ac:dyDescent="0.15">
      <c r="A47" s="265"/>
      <c r="B47" s="264"/>
      <c r="C47" s="263"/>
      <c r="D47" s="263"/>
      <c r="E47" s="263"/>
      <c r="F47" s="263"/>
      <c r="G47" s="263"/>
      <c r="H47" s="263"/>
      <c r="I47" s="263"/>
      <c r="J47" s="263"/>
      <c r="K47" s="263"/>
      <c r="L47" s="263"/>
      <c r="M47" s="263"/>
      <c r="N47" s="263"/>
      <c r="O47" s="263"/>
      <c r="P47" s="263"/>
      <c r="Q47" s="263"/>
      <c r="R47" s="263"/>
      <c r="S47" s="263"/>
      <c r="T47" s="263"/>
      <c r="U47" s="263"/>
      <c r="V47" s="263"/>
      <c r="W47" s="263"/>
    </row>
    <row r="48" spans="1:24" ht="13" x14ac:dyDescent="0.15">
      <c r="A48" s="265"/>
      <c r="B48" s="264"/>
      <c r="C48" s="263"/>
      <c r="D48" s="263"/>
      <c r="E48" s="263"/>
      <c r="F48" s="263"/>
      <c r="G48" s="263"/>
      <c r="H48" s="263"/>
      <c r="I48" s="263"/>
      <c r="J48" s="263"/>
      <c r="K48" s="263"/>
      <c r="L48" s="263"/>
      <c r="M48" s="263"/>
      <c r="N48" s="263"/>
      <c r="O48" s="263"/>
      <c r="P48" s="263"/>
      <c r="Q48" s="263"/>
      <c r="R48" s="263"/>
      <c r="S48" s="263"/>
      <c r="T48" s="263"/>
      <c r="U48" s="263"/>
      <c r="V48" s="263"/>
      <c r="W48" s="263"/>
    </row>
    <row r="49" spans="1:23" ht="13" x14ac:dyDescent="0.15">
      <c r="A49" s="265"/>
      <c r="B49" s="264"/>
      <c r="C49" s="263"/>
      <c r="D49" s="263"/>
      <c r="E49" s="263"/>
      <c r="F49" s="263"/>
      <c r="G49" s="263"/>
      <c r="H49" s="263"/>
      <c r="I49" s="263"/>
      <c r="J49" s="263"/>
      <c r="K49" s="263"/>
      <c r="L49" s="263"/>
      <c r="M49" s="263"/>
      <c r="N49" s="263"/>
      <c r="O49" s="263"/>
      <c r="P49" s="263"/>
      <c r="Q49" s="263"/>
      <c r="R49" s="263"/>
      <c r="S49" s="263"/>
      <c r="T49" s="263"/>
      <c r="U49" s="263"/>
      <c r="V49" s="263"/>
      <c r="W49" s="263"/>
    </row>
    <row r="50" spans="1:23" ht="13" x14ac:dyDescent="0.15">
      <c r="A50" s="265"/>
      <c r="B50" s="264"/>
      <c r="C50" s="263"/>
      <c r="D50" s="263"/>
      <c r="E50" s="263"/>
      <c r="F50" s="263"/>
      <c r="G50" s="263"/>
      <c r="H50" s="263"/>
      <c r="I50" s="263"/>
      <c r="J50" s="263"/>
      <c r="K50" s="263"/>
      <c r="L50" s="263"/>
      <c r="M50" s="263"/>
      <c r="N50" s="263"/>
      <c r="O50" s="263"/>
      <c r="P50" s="263"/>
      <c r="Q50" s="263"/>
      <c r="R50" s="263"/>
      <c r="S50" s="263"/>
      <c r="T50" s="263"/>
      <c r="U50" s="263"/>
      <c r="V50" s="263"/>
      <c r="W50" s="263"/>
    </row>
    <row r="51" spans="1:23" ht="13" x14ac:dyDescent="0.15">
      <c r="A51" s="265"/>
      <c r="B51" s="264"/>
      <c r="C51" s="263"/>
      <c r="D51" s="263"/>
      <c r="E51" s="263"/>
      <c r="F51" s="263"/>
      <c r="G51" s="263"/>
      <c r="H51" s="263"/>
      <c r="I51" s="263"/>
      <c r="J51" s="263"/>
      <c r="K51" s="263"/>
      <c r="L51" s="263"/>
      <c r="M51" s="263"/>
      <c r="N51" s="263"/>
      <c r="O51" s="263"/>
      <c r="P51" s="263"/>
      <c r="Q51" s="263"/>
      <c r="R51" s="263"/>
      <c r="S51" s="263"/>
      <c r="T51" s="263"/>
      <c r="U51" s="263"/>
      <c r="V51" s="263"/>
      <c r="W51" s="263"/>
    </row>
    <row r="52" spans="1:23" ht="13" x14ac:dyDescent="0.15">
      <c r="A52" s="265"/>
      <c r="B52" s="264"/>
      <c r="C52" s="263"/>
      <c r="D52" s="263"/>
      <c r="E52" s="263"/>
      <c r="F52" s="263"/>
      <c r="G52" s="263"/>
      <c r="H52" s="263"/>
      <c r="I52" s="263"/>
      <c r="J52" s="263"/>
      <c r="K52" s="263"/>
      <c r="L52" s="263"/>
      <c r="M52" s="263"/>
      <c r="N52" s="263"/>
      <c r="O52" s="263"/>
      <c r="P52" s="263"/>
      <c r="Q52" s="263"/>
      <c r="R52" s="263"/>
      <c r="S52" s="263"/>
      <c r="T52" s="263"/>
      <c r="U52" s="263"/>
      <c r="V52" s="263"/>
      <c r="W52" s="263"/>
    </row>
    <row r="53" spans="1:23" ht="13" x14ac:dyDescent="0.15">
      <c r="A53" s="265"/>
      <c r="B53" s="264"/>
      <c r="C53" s="263"/>
      <c r="D53" s="263"/>
      <c r="E53" s="263"/>
      <c r="F53" s="263"/>
      <c r="G53" s="263"/>
      <c r="H53" s="263"/>
      <c r="I53" s="263"/>
      <c r="J53" s="263"/>
      <c r="K53" s="263"/>
      <c r="L53" s="263"/>
      <c r="M53" s="263"/>
      <c r="N53" s="263"/>
      <c r="O53" s="263"/>
      <c r="P53" s="263"/>
      <c r="Q53" s="263"/>
      <c r="R53" s="263"/>
      <c r="S53" s="263"/>
      <c r="T53" s="263"/>
      <c r="U53" s="263"/>
      <c r="V53" s="263"/>
      <c r="W53" s="263"/>
    </row>
    <row r="54" spans="1:23" ht="13" x14ac:dyDescent="0.15">
      <c r="A54" s="265"/>
      <c r="B54" s="264"/>
      <c r="C54" s="263"/>
      <c r="D54" s="263"/>
      <c r="E54" s="263"/>
      <c r="F54" s="263"/>
      <c r="G54" s="263"/>
      <c r="H54" s="263"/>
      <c r="I54" s="263"/>
      <c r="J54" s="263"/>
      <c r="K54" s="263"/>
      <c r="L54" s="263"/>
      <c r="M54" s="263"/>
      <c r="N54" s="263"/>
      <c r="O54" s="263"/>
      <c r="P54" s="263"/>
      <c r="Q54" s="263"/>
      <c r="R54" s="263"/>
      <c r="S54" s="263"/>
      <c r="T54" s="263"/>
      <c r="U54" s="263"/>
      <c r="V54" s="263"/>
      <c r="W54" s="263"/>
    </row>
    <row r="55" spans="1:23" ht="13" x14ac:dyDescent="0.15">
      <c r="A55" s="265"/>
      <c r="B55" s="264"/>
      <c r="C55" s="263"/>
      <c r="D55" s="263"/>
      <c r="E55" s="263"/>
      <c r="F55" s="263"/>
      <c r="G55" s="263"/>
      <c r="H55" s="263"/>
      <c r="I55" s="263"/>
      <c r="J55" s="263"/>
      <c r="K55" s="263"/>
      <c r="L55" s="263"/>
      <c r="M55" s="263"/>
      <c r="N55" s="263"/>
      <c r="O55" s="263"/>
      <c r="P55" s="263"/>
      <c r="Q55" s="263"/>
      <c r="R55" s="263"/>
      <c r="S55" s="263"/>
      <c r="T55" s="263"/>
      <c r="U55" s="263"/>
      <c r="V55" s="263"/>
      <c r="W55" s="263"/>
    </row>
    <row r="56" spans="1:23" ht="13" x14ac:dyDescent="0.15">
      <c r="A56" s="265"/>
      <c r="B56" s="264"/>
      <c r="C56" s="263"/>
      <c r="D56" s="263"/>
      <c r="E56" s="263"/>
      <c r="F56" s="263"/>
      <c r="G56" s="263"/>
      <c r="H56" s="263"/>
      <c r="I56" s="263"/>
      <c r="J56" s="263"/>
      <c r="K56" s="263"/>
      <c r="L56" s="263"/>
      <c r="M56" s="263"/>
      <c r="N56" s="263"/>
      <c r="O56" s="263"/>
      <c r="P56" s="263"/>
      <c r="Q56" s="263"/>
      <c r="R56" s="263"/>
      <c r="S56" s="263"/>
      <c r="T56" s="263"/>
      <c r="U56" s="263"/>
      <c r="V56" s="263"/>
      <c r="W56" s="263"/>
    </row>
    <row r="57" spans="1:23" ht="13" x14ac:dyDescent="0.15">
      <c r="A57" s="265"/>
      <c r="B57" s="264"/>
      <c r="C57" s="263"/>
      <c r="D57" s="263"/>
      <c r="E57" s="263"/>
      <c r="F57" s="263"/>
      <c r="G57" s="263"/>
      <c r="H57" s="263"/>
      <c r="I57" s="263"/>
      <c r="J57" s="263"/>
      <c r="K57" s="263"/>
      <c r="L57" s="263"/>
      <c r="M57" s="263"/>
      <c r="N57" s="263"/>
      <c r="O57" s="263"/>
      <c r="P57" s="263"/>
      <c r="Q57" s="263"/>
      <c r="R57" s="263"/>
      <c r="S57" s="263"/>
      <c r="T57" s="263"/>
      <c r="U57" s="263"/>
      <c r="V57" s="263"/>
      <c r="W57" s="263"/>
    </row>
    <row r="58" spans="1:23" ht="13" x14ac:dyDescent="0.15">
      <c r="A58" s="265"/>
      <c r="B58" s="264"/>
      <c r="C58" s="263"/>
      <c r="D58" s="263"/>
      <c r="E58" s="263"/>
      <c r="F58" s="263"/>
      <c r="G58" s="263"/>
      <c r="H58" s="263"/>
      <c r="I58" s="263"/>
      <c r="J58" s="263"/>
      <c r="K58" s="263"/>
      <c r="L58" s="263"/>
      <c r="M58" s="263"/>
      <c r="N58" s="263"/>
      <c r="O58" s="263"/>
      <c r="P58" s="263"/>
      <c r="Q58" s="263"/>
      <c r="R58" s="263"/>
      <c r="S58" s="263"/>
      <c r="T58" s="263"/>
      <c r="U58" s="263"/>
      <c r="V58" s="263"/>
      <c r="W58" s="263"/>
    </row>
    <row r="59" spans="1:23" ht="13" x14ac:dyDescent="0.15">
      <c r="A59" s="265"/>
      <c r="B59" s="264"/>
      <c r="C59" s="263"/>
      <c r="D59" s="263"/>
      <c r="E59" s="263"/>
      <c r="F59" s="263"/>
      <c r="G59" s="263"/>
      <c r="H59" s="263"/>
      <c r="I59" s="263"/>
      <c r="J59" s="263"/>
      <c r="K59" s="263"/>
      <c r="L59" s="263"/>
      <c r="M59" s="263"/>
      <c r="N59" s="263"/>
      <c r="O59" s="263"/>
      <c r="P59" s="263"/>
      <c r="Q59" s="263"/>
      <c r="R59" s="263"/>
      <c r="S59" s="263"/>
      <c r="T59" s="263"/>
      <c r="U59" s="263"/>
      <c r="V59" s="263"/>
      <c r="W59" s="263"/>
    </row>
    <row r="60" spans="1:23" ht="13" x14ac:dyDescent="0.15">
      <c r="A60" s="265"/>
      <c r="B60" s="264"/>
      <c r="C60" s="263"/>
      <c r="D60" s="263"/>
      <c r="E60" s="263"/>
      <c r="F60" s="263"/>
      <c r="G60" s="263"/>
      <c r="H60" s="263"/>
      <c r="I60" s="263"/>
      <c r="J60" s="263"/>
      <c r="K60" s="263"/>
      <c r="L60" s="263"/>
      <c r="M60" s="263"/>
      <c r="N60" s="263"/>
      <c r="O60" s="263"/>
      <c r="P60" s="263"/>
      <c r="Q60" s="263"/>
      <c r="R60" s="263"/>
      <c r="S60" s="263"/>
      <c r="T60" s="263"/>
      <c r="U60" s="263"/>
      <c r="V60" s="263"/>
      <c r="W60" s="263"/>
    </row>
    <row r="61" spans="1:23" ht="13" x14ac:dyDescent="0.15">
      <c r="A61" s="265"/>
      <c r="B61" s="264"/>
      <c r="C61" s="263"/>
      <c r="D61" s="263"/>
      <c r="E61" s="263"/>
      <c r="F61" s="263"/>
      <c r="G61" s="263"/>
      <c r="H61" s="263"/>
      <c r="I61" s="263"/>
      <c r="J61" s="263"/>
      <c r="K61" s="263"/>
      <c r="L61" s="263"/>
      <c r="M61" s="263"/>
      <c r="N61" s="263"/>
      <c r="O61" s="263"/>
      <c r="P61" s="263"/>
      <c r="Q61" s="263"/>
      <c r="R61" s="263"/>
      <c r="S61" s="263"/>
      <c r="T61" s="263"/>
      <c r="U61" s="263"/>
      <c r="V61" s="263"/>
      <c r="W61" s="263"/>
    </row>
    <row r="62" spans="1:23" ht="13" x14ac:dyDescent="0.15">
      <c r="A62" s="265"/>
      <c r="B62" s="264"/>
      <c r="C62" s="263"/>
      <c r="D62" s="263"/>
      <c r="E62" s="263"/>
      <c r="F62" s="263"/>
      <c r="G62" s="263"/>
      <c r="H62" s="263"/>
      <c r="I62" s="263"/>
      <c r="J62" s="263"/>
      <c r="K62" s="263"/>
      <c r="L62" s="263"/>
      <c r="M62" s="263"/>
      <c r="N62" s="263"/>
      <c r="O62" s="263"/>
      <c r="P62" s="263"/>
      <c r="Q62" s="263"/>
      <c r="R62" s="263"/>
      <c r="S62" s="263"/>
      <c r="T62" s="263"/>
      <c r="U62" s="263"/>
      <c r="V62" s="263"/>
      <c r="W62" s="263"/>
    </row>
    <row r="63" spans="1:23" ht="13" x14ac:dyDescent="0.15">
      <c r="A63" s="265"/>
      <c r="B63" s="264"/>
      <c r="C63" s="263"/>
      <c r="D63" s="263"/>
      <c r="E63" s="263"/>
      <c r="F63" s="263"/>
      <c r="G63" s="263"/>
      <c r="H63" s="263"/>
      <c r="I63" s="263"/>
      <c r="J63" s="263"/>
      <c r="K63" s="263"/>
      <c r="L63" s="263"/>
      <c r="M63" s="263"/>
      <c r="N63" s="263"/>
      <c r="O63" s="263"/>
      <c r="P63" s="263"/>
      <c r="Q63" s="263"/>
      <c r="R63" s="263"/>
      <c r="S63" s="263"/>
      <c r="T63" s="263"/>
      <c r="U63" s="263"/>
      <c r="V63" s="263"/>
      <c r="W63" s="263"/>
    </row>
    <row r="64" spans="1:23" ht="13" x14ac:dyDescent="0.15">
      <c r="A64" s="265"/>
      <c r="B64" s="264"/>
      <c r="C64" s="263"/>
      <c r="D64" s="263"/>
      <c r="E64" s="263"/>
      <c r="F64" s="263"/>
      <c r="G64" s="263"/>
      <c r="H64" s="263"/>
      <c r="I64" s="263"/>
      <c r="J64" s="263"/>
      <c r="K64" s="263"/>
      <c r="L64" s="263"/>
      <c r="M64" s="263"/>
      <c r="N64" s="263"/>
      <c r="O64" s="263"/>
      <c r="P64" s="263"/>
      <c r="Q64" s="263"/>
      <c r="R64" s="263"/>
      <c r="S64" s="263"/>
      <c r="T64" s="263"/>
      <c r="U64" s="263"/>
      <c r="V64" s="263"/>
      <c r="W64" s="263"/>
    </row>
    <row r="65" spans="1:23" ht="13" x14ac:dyDescent="0.15">
      <c r="A65" s="265"/>
      <c r="B65" s="264"/>
      <c r="C65" s="263"/>
      <c r="D65" s="263"/>
      <c r="E65" s="263"/>
      <c r="F65" s="263"/>
      <c r="G65" s="263"/>
      <c r="H65" s="263"/>
      <c r="I65" s="263"/>
      <c r="J65" s="263"/>
      <c r="K65" s="263"/>
      <c r="L65" s="263"/>
      <c r="M65" s="263"/>
      <c r="N65" s="263"/>
      <c r="O65" s="263"/>
      <c r="P65" s="263"/>
      <c r="Q65" s="263"/>
      <c r="R65" s="263"/>
      <c r="S65" s="263"/>
      <c r="T65" s="263"/>
      <c r="U65" s="263"/>
      <c r="V65" s="263"/>
      <c r="W65" s="263"/>
    </row>
    <row r="66" spans="1:23" ht="13" x14ac:dyDescent="0.15">
      <c r="A66" s="265"/>
      <c r="B66" s="264"/>
      <c r="C66" s="263"/>
      <c r="D66" s="263"/>
      <c r="E66" s="263"/>
      <c r="F66" s="263"/>
      <c r="G66" s="263"/>
      <c r="H66" s="263"/>
      <c r="I66" s="263"/>
      <c r="J66" s="263"/>
      <c r="K66" s="263"/>
      <c r="L66" s="263"/>
      <c r="M66" s="263"/>
      <c r="N66" s="263"/>
      <c r="O66" s="263"/>
      <c r="P66" s="263"/>
      <c r="Q66" s="263"/>
      <c r="R66" s="263"/>
      <c r="S66" s="263"/>
      <c r="T66" s="263"/>
      <c r="U66" s="263"/>
      <c r="V66" s="263"/>
      <c r="W66" s="263"/>
    </row>
    <row r="67" spans="1:23" ht="13" x14ac:dyDescent="0.15">
      <c r="A67" s="264"/>
      <c r="B67" s="264"/>
      <c r="C67" s="263"/>
      <c r="D67" s="263"/>
      <c r="E67" s="263"/>
      <c r="F67" s="263"/>
      <c r="G67" s="263"/>
      <c r="H67" s="263"/>
      <c r="I67" s="263"/>
      <c r="J67" s="263"/>
      <c r="K67" s="263"/>
      <c r="L67" s="263"/>
      <c r="M67" s="263"/>
      <c r="N67" s="263"/>
      <c r="O67" s="263"/>
      <c r="P67" s="263"/>
      <c r="Q67" s="263"/>
      <c r="R67" s="263"/>
      <c r="S67" s="263"/>
      <c r="T67" s="263"/>
      <c r="U67" s="263"/>
      <c r="V67" s="263"/>
      <c r="W67" s="263"/>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E5D8E-CD45-49B5-A47D-5476CC0C910F}">
  <sheetPr codeName="Ark8"/>
  <dimension ref="A2:P39"/>
  <sheetViews>
    <sheetView workbookViewId="0">
      <selection activeCell="E36" sqref="E36"/>
    </sheetView>
  </sheetViews>
  <sheetFormatPr baseColWidth="10" defaultColWidth="8.6640625" defaultRowHeight="15" x14ac:dyDescent="0.2"/>
  <cols>
    <col min="1" max="1" width="8.6640625" style="103"/>
    <col min="2" max="2" width="100.5" style="102" customWidth="1"/>
    <col min="3" max="3" width="3" style="107" customWidth="1"/>
    <col min="4" max="16384" width="8.6640625" style="107"/>
  </cols>
  <sheetData>
    <row r="2" spans="1:16" ht="32" x14ac:dyDescent="0.2">
      <c r="A2" s="101" t="s">
        <v>3</v>
      </c>
      <c r="B2" s="102" t="s">
        <v>259</v>
      </c>
    </row>
    <row r="3" spans="1:16" ht="16" x14ac:dyDescent="0.2">
      <c r="A3" s="101" t="s">
        <v>3</v>
      </c>
      <c r="B3" s="102" t="s">
        <v>261</v>
      </c>
    </row>
    <row r="4" spans="1:16" ht="16" x14ac:dyDescent="0.2">
      <c r="A4" s="101"/>
      <c r="B4" s="102" t="s">
        <v>262</v>
      </c>
    </row>
    <row r="6" spans="1:16" ht="32" x14ac:dyDescent="0.2">
      <c r="A6" s="101" t="s">
        <v>3</v>
      </c>
      <c r="B6" s="121" t="s">
        <v>32</v>
      </c>
      <c r="D6" s="47"/>
      <c r="E6" s="44"/>
      <c r="F6" s="44"/>
      <c r="G6" s="44"/>
      <c r="H6" s="44"/>
      <c r="I6" s="44"/>
      <c r="J6" s="44"/>
      <c r="K6" s="44"/>
      <c r="L6" s="44"/>
      <c r="M6" s="44"/>
      <c r="N6" s="44"/>
      <c r="O6" s="122"/>
      <c r="P6" s="123"/>
    </row>
    <row r="7" spans="1:16" x14ac:dyDescent="0.2">
      <c r="A7" s="101"/>
      <c r="D7" s="22"/>
      <c r="E7" s="64" t="s">
        <v>6</v>
      </c>
      <c r="F7" s="27"/>
      <c r="G7" s="488" t="s">
        <v>7</v>
      </c>
      <c r="H7" s="488"/>
      <c r="I7" s="488"/>
      <c r="J7" s="488"/>
      <c r="K7" s="488"/>
      <c r="L7" s="488"/>
      <c r="M7" s="488"/>
      <c r="N7" s="488"/>
      <c r="O7" s="124"/>
      <c r="P7" s="125"/>
    </row>
    <row r="8" spans="1:16" ht="32" x14ac:dyDescent="0.2">
      <c r="A8" s="101" t="s">
        <v>3</v>
      </c>
      <c r="B8" s="121" t="s">
        <v>101</v>
      </c>
      <c r="D8" s="22"/>
      <c r="E8" s="64"/>
      <c r="F8" s="27"/>
      <c r="G8" s="27"/>
      <c r="H8" s="27"/>
      <c r="I8" s="27"/>
      <c r="J8" s="27"/>
      <c r="K8" s="27"/>
      <c r="L8" s="27"/>
      <c r="M8" s="27"/>
      <c r="N8" s="27"/>
      <c r="O8" s="124"/>
      <c r="P8" s="125"/>
    </row>
    <row r="9" spans="1:16" x14ac:dyDescent="0.2">
      <c r="A9" s="101"/>
      <c r="D9" s="22"/>
      <c r="E9" s="64" t="s">
        <v>17</v>
      </c>
      <c r="F9" s="27"/>
      <c r="G9" s="27"/>
      <c r="H9" s="27"/>
      <c r="I9" s="27"/>
      <c r="J9" s="27"/>
      <c r="K9" s="27"/>
      <c r="L9" s="27"/>
      <c r="M9" s="27"/>
      <c r="N9" s="27"/>
      <c r="O9" s="124"/>
      <c r="P9" s="125"/>
    </row>
    <row r="10" spans="1:16" ht="16" x14ac:dyDescent="0.2">
      <c r="A10" s="101" t="s">
        <v>3</v>
      </c>
      <c r="B10" s="102" t="s">
        <v>102</v>
      </c>
      <c r="D10" s="22"/>
      <c r="E10" s="64"/>
      <c r="F10" s="27"/>
      <c r="G10" s="27"/>
      <c r="H10" s="27"/>
      <c r="I10" s="27"/>
      <c r="J10" s="27"/>
      <c r="K10" s="27"/>
      <c r="L10" s="27"/>
      <c r="M10" s="27"/>
      <c r="N10" s="27"/>
      <c r="O10" s="124"/>
      <c r="P10" s="125"/>
    </row>
    <row r="11" spans="1:16" ht="16" x14ac:dyDescent="0.2">
      <c r="A11" s="101" t="s">
        <v>3</v>
      </c>
      <c r="B11" s="121" t="s">
        <v>210</v>
      </c>
      <c r="D11" s="22"/>
      <c r="E11" s="64" t="s">
        <v>18</v>
      </c>
      <c r="F11" s="27"/>
      <c r="G11" s="27"/>
      <c r="H11" s="27"/>
      <c r="I11" s="27"/>
      <c r="J11" s="27"/>
      <c r="K11" s="27"/>
      <c r="L11" s="27"/>
      <c r="M11" s="27"/>
      <c r="N11" s="27"/>
      <c r="O11" s="124"/>
      <c r="P11" s="125"/>
    </row>
    <row r="12" spans="1:16" x14ac:dyDescent="0.2">
      <c r="A12" s="101"/>
      <c r="D12" s="22"/>
      <c r="E12" s="64" t="s">
        <v>19</v>
      </c>
      <c r="F12" s="27"/>
      <c r="G12" s="27"/>
      <c r="H12" s="27"/>
      <c r="I12" s="27"/>
      <c r="J12" s="27"/>
      <c r="K12" s="27"/>
      <c r="L12" s="27"/>
      <c r="M12" s="27"/>
      <c r="N12" s="27"/>
      <c r="O12" s="124"/>
      <c r="P12" s="125"/>
    </row>
    <row r="13" spans="1:16" ht="16" x14ac:dyDescent="0.2">
      <c r="A13" s="105" t="s">
        <v>3</v>
      </c>
      <c r="B13" s="106" t="s">
        <v>44</v>
      </c>
      <c r="C13" s="108"/>
      <c r="D13" s="22"/>
      <c r="E13" s="64" t="s">
        <v>20</v>
      </c>
      <c r="F13" s="27"/>
      <c r="G13" s="27"/>
      <c r="H13" s="27"/>
      <c r="I13" s="27"/>
      <c r="J13" s="27"/>
      <c r="K13" s="27"/>
      <c r="L13" s="27"/>
      <c r="M13" s="27"/>
      <c r="N13" s="27"/>
      <c r="O13" s="124"/>
      <c r="P13" s="125"/>
    </row>
    <row r="14" spans="1:16" ht="32" x14ac:dyDescent="0.2">
      <c r="A14" s="105" t="s">
        <v>3</v>
      </c>
      <c r="B14" s="106" t="s">
        <v>46</v>
      </c>
      <c r="C14" s="108"/>
      <c r="D14" s="22"/>
      <c r="E14" s="64" t="s">
        <v>21</v>
      </c>
      <c r="F14" s="27"/>
      <c r="G14" s="27"/>
      <c r="H14" s="27"/>
      <c r="I14" s="27"/>
      <c r="J14" s="27"/>
      <c r="K14" s="27"/>
      <c r="L14" s="27"/>
      <c r="M14" s="27"/>
      <c r="N14" s="27"/>
      <c r="O14" s="124"/>
      <c r="P14" s="125"/>
    </row>
    <row r="15" spans="1:16" ht="16" x14ac:dyDescent="0.2">
      <c r="A15" s="105" t="s">
        <v>3</v>
      </c>
      <c r="B15" s="106" t="s">
        <v>45</v>
      </c>
      <c r="C15" s="108"/>
      <c r="D15" s="22"/>
      <c r="E15" s="64" t="s">
        <v>22</v>
      </c>
      <c r="F15" s="27"/>
      <c r="G15" s="27"/>
      <c r="H15" s="27"/>
      <c r="I15" s="27"/>
      <c r="J15" s="27"/>
      <c r="K15" s="27"/>
      <c r="L15" s="27"/>
      <c r="M15" s="27"/>
      <c r="N15" s="27"/>
      <c r="O15" s="124"/>
      <c r="P15" s="125"/>
    </row>
    <row r="16" spans="1:16" ht="16" x14ac:dyDescent="0.2">
      <c r="A16" s="105" t="s">
        <v>3</v>
      </c>
      <c r="B16" s="106" t="s">
        <v>47</v>
      </c>
      <c r="C16" s="108"/>
      <c r="D16" s="22"/>
      <c r="E16" s="64" t="s">
        <v>23</v>
      </c>
      <c r="F16" s="27"/>
      <c r="G16" s="27"/>
      <c r="H16" s="27"/>
      <c r="I16" s="27"/>
      <c r="J16" s="27"/>
      <c r="K16" s="27"/>
      <c r="L16" s="27"/>
      <c r="M16" s="27"/>
      <c r="N16" s="27"/>
      <c r="O16" s="124"/>
      <c r="P16" s="125"/>
    </row>
    <row r="17" spans="1:16" ht="16" x14ac:dyDescent="0.2">
      <c r="A17" s="105" t="s">
        <v>3</v>
      </c>
      <c r="B17" s="106" t="s">
        <v>48</v>
      </c>
      <c r="C17" s="108"/>
      <c r="D17" s="22"/>
      <c r="E17" s="64" t="s">
        <v>24</v>
      </c>
      <c r="F17" s="27"/>
      <c r="G17" s="27"/>
      <c r="H17" s="27"/>
      <c r="I17" s="27"/>
      <c r="J17" s="27"/>
      <c r="K17" s="27"/>
      <c r="L17" s="27"/>
      <c r="M17" s="27"/>
      <c r="N17" s="27"/>
      <c r="O17" s="124"/>
      <c r="P17" s="125"/>
    </row>
    <row r="18" spans="1:16" ht="32" x14ac:dyDescent="0.2">
      <c r="A18" s="105" t="s">
        <v>3</v>
      </c>
      <c r="B18" s="106" t="s">
        <v>99</v>
      </c>
      <c r="C18" s="108"/>
      <c r="D18" s="22"/>
      <c r="E18" s="64" t="s">
        <v>25</v>
      </c>
      <c r="F18" s="27"/>
      <c r="G18" s="27"/>
      <c r="H18" s="27"/>
      <c r="I18" s="27"/>
      <c r="J18" s="27"/>
      <c r="K18" s="27"/>
      <c r="L18" s="27"/>
      <c r="M18" s="27"/>
      <c r="N18" s="27"/>
      <c r="O18" s="124"/>
      <c r="P18" s="125"/>
    </row>
    <row r="19" spans="1:16" ht="32" x14ac:dyDescent="0.2">
      <c r="A19" s="105" t="s">
        <v>3</v>
      </c>
      <c r="B19" s="120" t="s">
        <v>49</v>
      </c>
      <c r="C19" s="128"/>
      <c r="D19" s="25"/>
      <c r="E19" s="28"/>
      <c r="F19" s="28"/>
      <c r="G19" s="28"/>
      <c r="H19" s="28"/>
      <c r="I19" s="28"/>
      <c r="J19" s="28"/>
      <c r="K19" s="28"/>
      <c r="L19" s="28"/>
      <c r="M19" s="28"/>
      <c r="N19" s="28"/>
      <c r="O19" s="126"/>
      <c r="P19" s="127"/>
    </row>
    <row r="20" spans="1:16" ht="16" x14ac:dyDescent="0.2">
      <c r="A20" s="105" t="s">
        <v>3</v>
      </c>
      <c r="B20" s="120" t="s">
        <v>98</v>
      </c>
      <c r="C20" s="128"/>
    </row>
    <row r="21" spans="1:16" ht="224" x14ac:dyDescent="0.2">
      <c r="A21" s="105" t="s">
        <v>3</v>
      </c>
      <c r="B21" s="120" t="s">
        <v>100</v>
      </c>
      <c r="C21" s="128"/>
    </row>
    <row r="22" spans="1:16" x14ac:dyDescent="0.2">
      <c r="B22" s="104"/>
    </row>
    <row r="23" spans="1:16" x14ac:dyDescent="0.2">
      <c r="B23" s="104"/>
    </row>
    <row r="24" spans="1:16" ht="32" x14ac:dyDescent="0.2">
      <c r="A24" s="105" t="s">
        <v>3</v>
      </c>
      <c r="B24" s="102" t="s">
        <v>104</v>
      </c>
    </row>
    <row r="25" spans="1:16" ht="64" x14ac:dyDescent="0.2">
      <c r="A25" s="105" t="s">
        <v>3</v>
      </c>
      <c r="B25" s="102" t="s">
        <v>103</v>
      </c>
    </row>
    <row r="27" spans="1:16" ht="20" x14ac:dyDescent="0.25">
      <c r="A27" s="364" t="s">
        <v>105</v>
      </c>
      <c r="B27" s="365"/>
    </row>
    <row r="32" spans="1:16" ht="20" x14ac:dyDescent="0.25">
      <c r="A32" s="366" t="s">
        <v>370</v>
      </c>
      <c r="B32" s="367"/>
      <c r="C32" s="369"/>
    </row>
    <row r="33" spans="1:3" ht="16" x14ac:dyDescent="0.2">
      <c r="A33" s="368"/>
      <c r="B33" s="106" t="s">
        <v>373</v>
      </c>
      <c r="C33" s="108"/>
    </row>
    <row r="34" spans="1:3" x14ac:dyDescent="0.2">
      <c r="A34" s="368"/>
      <c r="B34" s="106"/>
      <c r="C34" s="108"/>
    </row>
    <row r="35" spans="1:3" ht="64" x14ac:dyDescent="0.2">
      <c r="A35" s="368"/>
      <c r="B35" s="106" t="s">
        <v>371</v>
      </c>
      <c r="C35" s="108"/>
    </row>
    <row r="36" spans="1:3" x14ac:dyDescent="0.2">
      <c r="A36" s="368"/>
      <c r="B36" s="106"/>
      <c r="C36" s="108"/>
    </row>
    <row r="37" spans="1:3" ht="48" customHeight="1" x14ac:dyDescent="0.2">
      <c r="A37" s="368"/>
      <c r="B37" s="106" t="s">
        <v>372</v>
      </c>
      <c r="C37" s="108"/>
    </row>
    <row r="38" spans="1:3" x14ac:dyDescent="0.2">
      <c r="A38" s="368"/>
      <c r="B38" s="106"/>
      <c r="C38" s="108"/>
    </row>
    <row r="39" spans="1:3" x14ac:dyDescent="0.2">
      <c r="C39" s="108"/>
    </row>
  </sheetData>
  <mergeCells count="1">
    <mergeCell ref="G7:N7"/>
  </mergeCells>
  <hyperlinks>
    <hyperlink ref="G7" r:id="rId1" xr:uid="{40CB67FC-FB0C-4A2B-B6EE-C5C4CB89527E}"/>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135D4-1E70-4383-84CC-743D7C75ADEF}">
  <sheetPr codeName="Ark1">
    <tabColor rgb="FFFFFFCC"/>
    <pageSetUpPr fitToPage="1"/>
  </sheetPr>
  <dimension ref="A1:AA76"/>
  <sheetViews>
    <sheetView showRowColHeaders="0" zoomScaleNormal="100" workbookViewId="0">
      <selection activeCell="E32" sqref="E32"/>
    </sheetView>
  </sheetViews>
  <sheetFormatPr baseColWidth="10" defaultColWidth="0" defaultRowHeight="16" customHeight="1" zeroHeight="1" x14ac:dyDescent="0.2"/>
  <cols>
    <col min="1" max="1" width="2.5" customWidth="1"/>
    <col min="2" max="2" width="3.33203125" customWidth="1"/>
    <col min="3" max="3" width="6.5" customWidth="1"/>
    <col min="4" max="4" width="20.83203125" customWidth="1"/>
    <col min="5" max="5" width="8" customWidth="1"/>
    <col min="6" max="6" width="2.6640625" customWidth="1"/>
    <col min="7" max="7" width="6.5" customWidth="1"/>
    <col min="8" max="8" width="22.5" customWidth="1"/>
    <col min="9" max="9" width="5.6640625" customWidth="1"/>
    <col min="10" max="10" width="2.6640625" customWidth="1"/>
    <col min="11" max="11" width="7.33203125" customWidth="1"/>
    <col min="12" max="12" width="23.1640625" customWidth="1"/>
    <col min="13" max="13" width="10.83203125" style="2" customWidth="1"/>
    <col min="14" max="14" width="3.33203125" customWidth="1"/>
    <col min="15" max="15" width="2.1640625" customWidth="1"/>
    <col min="16" max="16" width="47.5" style="151" hidden="1" customWidth="1"/>
    <col min="17" max="17" width="27.1640625" style="151" hidden="1" customWidth="1"/>
    <col min="18" max="18" width="9.1640625" style="151" hidden="1" customWidth="1"/>
    <col min="19" max="19" width="4" style="151" hidden="1" customWidth="1"/>
    <col min="20" max="20" width="62.83203125" style="151" hidden="1" customWidth="1"/>
    <col min="21" max="21" width="58.1640625" style="151" hidden="1" customWidth="1"/>
    <col min="22" max="22" width="68.33203125" style="151" hidden="1" customWidth="1"/>
    <col min="23" max="23" width="50.5" style="151" hidden="1" customWidth="1"/>
    <col min="24" max="24" width="42.6640625" style="151" hidden="1" customWidth="1"/>
    <col min="25" max="25" width="73.5" style="151" hidden="1" customWidth="1"/>
    <col min="26" max="16384" width="9.1640625" style="151" hidden="1"/>
  </cols>
  <sheetData>
    <row r="1" spans="1:26" ht="15" x14ac:dyDescent="0.2"/>
    <row r="2" spans="1:26" ht="15" x14ac:dyDescent="0.2"/>
    <row r="3" spans="1:26" ht="15" x14ac:dyDescent="0.2"/>
    <row r="4" spans="1:26" ht="15" x14ac:dyDescent="0.2"/>
    <row r="5" spans="1:26" ht="15" x14ac:dyDescent="0.2"/>
    <row r="6" spans="1:26" ht="15" x14ac:dyDescent="0.2"/>
    <row r="7" spans="1:26" ht="15" x14ac:dyDescent="0.2"/>
    <row r="8" spans="1:26" ht="15" x14ac:dyDescent="0.2">
      <c r="A8" s="20"/>
      <c r="B8" s="20"/>
      <c r="C8" s="20"/>
      <c r="D8" s="20"/>
      <c r="E8" s="20"/>
      <c r="F8" s="20"/>
      <c r="G8" s="20"/>
      <c r="H8" s="20"/>
      <c r="I8" s="20"/>
      <c r="J8" s="20"/>
      <c r="K8" s="20"/>
      <c r="L8" s="20"/>
      <c r="M8" s="35"/>
      <c r="N8" s="20"/>
      <c r="O8" s="20"/>
    </row>
    <row r="9" spans="1:26" ht="17.5" customHeight="1" x14ac:dyDescent="0.2">
      <c r="A9" s="20"/>
      <c r="B9" s="212"/>
      <c r="C9" s="434" t="s">
        <v>398</v>
      </c>
      <c r="D9" s="434"/>
      <c r="E9" s="434"/>
      <c r="F9" s="434"/>
      <c r="G9" s="434"/>
      <c r="H9" s="434"/>
      <c r="I9" s="357"/>
      <c r="J9" s="358"/>
      <c r="K9" s="359"/>
      <c r="L9" s="359"/>
      <c r="M9" s="359"/>
      <c r="N9" s="360"/>
      <c r="O9" s="20"/>
    </row>
    <row r="10" spans="1:26" ht="17.5" customHeight="1" x14ac:dyDescent="0.2">
      <c r="A10" s="20"/>
      <c r="B10" s="12"/>
      <c r="C10" s="435"/>
      <c r="D10" s="435"/>
      <c r="E10" s="435"/>
      <c r="F10" s="435"/>
      <c r="G10" s="435"/>
      <c r="H10" s="435"/>
      <c r="I10" s="361"/>
      <c r="J10" s="362"/>
      <c r="K10" s="362"/>
      <c r="L10" s="362"/>
      <c r="M10" s="362"/>
      <c r="N10" s="363"/>
      <c r="O10" s="20"/>
      <c r="Y10" s="304"/>
    </row>
    <row r="11" spans="1:26" s="152" customFormat="1" ht="16" customHeight="1" x14ac:dyDescent="0.2">
      <c r="A11" s="41"/>
      <c r="B11" s="39"/>
      <c r="C11" s="89" t="s">
        <v>316</v>
      </c>
      <c r="D11" s="90"/>
      <c r="E11" s="308"/>
      <c r="F11" s="51"/>
      <c r="G11" s="436" t="s">
        <v>226</v>
      </c>
      <c r="H11" s="437"/>
      <c r="I11" s="91"/>
      <c r="J11" s="52"/>
      <c r="K11" s="436" t="s">
        <v>228</v>
      </c>
      <c r="L11" s="437"/>
      <c r="M11" s="91"/>
      <c r="N11" s="40"/>
      <c r="O11" s="41"/>
      <c r="R11" s="202"/>
      <c r="Y11" s="309"/>
    </row>
    <row r="12" spans="1:26" ht="15" x14ac:dyDescent="0.2">
      <c r="A12" s="20"/>
      <c r="B12" s="12"/>
      <c r="C12" s="53" t="str">
        <f>"Poolish  ("&amp;ROUND(SUM(G12:G15),0)&amp;" g.)"</f>
        <v>Poolish  (610 g.)</v>
      </c>
      <c r="D12" s="54"/>
      <c r="E12" s="55">
        <f>G12/(G12+K12)</f>
        <v>0.19354838709677419</v>
      </c>
      <c r="F12" s="56"/>
      <c r="G12" s="57">
        <v>300</v>
      </c>
      <c r="H12" s="54" t="s">
        <v>14</v>
      </c>
      <c r="I12" s="55">
        <f>G12/G13</f>
        <v>1</v>
      </c>
      <c r="J12" s="54"/>
      <c r="K12" s="57">
        <v>1250</v>
      </c>
      <c r="L12" s="54" t="s">
        <v>14</v>
      </c>
      <c r="M12" s="55">
        <v>1</v>
      </c>
      <c r="N12" s="18"/>
      <c r="O12" s="20"/>
      <c r="P12" s="203"/>
      <c r="R12" s="204"/>
      <c r="Y12" s="304">
        <v>700</v>
      </c>
    </row>
    <row r="13" spans="1:26" ht="15" x14ac:dyDescent="0.2">
      <c r="A13" s="20"/>
      <c r="B13" s="12"/>
      <c r="C13" s="53" t="s">
        <v>228</v>
      </c>
      <c r="D13" s="54"/>
      <c r="E13" s="55">
        <f>K12/(G12+K12)</f>
        <v>0.80645161290322576</v>
      </c>
      <c r="F13" s="56"/>
      <c r="G13" s="57">
        <v>300</v>
      </c>
      <c r="H13" s="54" t="s">
        <v>388</v>
      </c>
      <c r="I13" s="147">
        <v>1</v>
      </c>
      <c r="J13" s="54"/>
      <c r="K13" s="148">
        <v>700</v>
      </c>
      <c r="L13" s="54" t="s">
        <v>254</v>
      </c>
      <c r="M13" s="147">
        <f>K13/K12</f>
        <v>0.56000000000000005</v>
      </c>
      <c r="N13" s="11"/>
      <c r="O13" s="20"/>
      <c r="R13" s="204"/>
      <c r="Y13" s="304">
        <v>400</v>
      </c>
      <c r="Z13" s="305"/>
    </row>
    <row r="14" spans="1:26" ht="15" x14ac:dyDescent="0.2">
      <c r="A14" s="20"/>
      <c r="B14" s="12"/>
      <c r="C14" s="145" t="s">
        <v>376</v>
      </c>
      <c r="D14" s="143"/>
      <c r="E14" s="183">
        <f>(G13+K13)/(G12+K12)</f>
        <v>0.64516129032258063</v>
      </c>
      <c r="F14" s="56"/>
      <c r="G14" s="58">
        <f>I14*G12</f>
        <v>5.04</v>
      </c>
      <c r="H14" s="54" t="str">
        <f>"g tørgær (el. "&amp;ROUND(G14*2,0)&amp;" g. frisk)"</f>
        <v>g tørgær (el. 10 g. frisk)</v>
      </c>
      <c r="I14" s="334">
        <v>1.6799999999999999E-2</v>
      </c>
      <c r="J14" s="54"/>
      <c r="K14" s="148">
        <f>(G12+K12)*M14</f>
        <v>40.299999999999997</v>
      </c>
      <c r="L14" s="54" t="s">
        <v>15</v>
      </c>
      <c r="M14" s="306">
        <v>2.5999999999999999E-2</v>
      </c>
      <c r="N14" s="11"/>
      <c r="O14" s="20"/>
      <c r="R14" s="204"/>
      <c r="Y14" s="304">
        <v>25</v>
      </c>
      <c r="Z14" s="305"/>
    </row>
    <row r="15" spans="1:26" ht="15" x14ac:dyDescent="0.2">
      <c r="A15" s="20"/>
      <c r="B15" s="12"/>
      <c r="C15" s="146" t="s">
        <v>10</v>
      </c>
      <c r="D15" s="144"/>
      <c r="E15" s="307">
        <f>SUM(G12:G15)+SUM(K12:K14)</f>
        <v>2600.34</v>
      </c>
      <c r="F15" s="56"/>
      <c r="G15" s="60">
        <v>5</v>
      </c>
      <c r="H15" s="59" t="s">
        <v>16</v>
      </c>
      <c r="I15" s="389"/>
      <c r="J15" s="54"/>
      <c r="K15" s="377">
        <f>SUM(G12:G15)</f>
        <v>610.04</v>
      </c>
      <c r="L15" s="59" t="s">
        <v>227</v>
      </c>
      <c r="M15" s="61"/>
      <c r="N15" s="11"/>
      <c r="O15" s="20"/>
      <c r="R15" s="204"/>
      <c r="Y15" s="310">
        <v>0.31944444444444448</v>
      </c>
    </row>
    <row r="16" spans="1:26" ht="6" customHeight="1" x14ac:dyDescent="0.2">
      <c r="A16" s="20"/>
      <c r="B16" s="12"/>
      <c r="C16" s="370"/>
      <c r="D16" s="143"/>
      <c r="E16" s="371"/>
      <c r="F16" s="56"/>
      <c r="G16" s="372"/>
      <c r="H16" s="54"/>
      <c r="I16" s="390"/>
      <c r="J16" s="54"/>
      <c r="K16" s="374"/>
      <c r="L16" s="54"/>
      <c r="M16" s="375"/>
      <c r="N16" s="11"/>
      <c r="O16" s="20"/>
      <c r="Y16" s="304"/>
    </row>
    <row r="17" spans="1:25" ht="6" customHeight="1" x14ac:dyDescent="0.2">
      <c r="A17" s="20"/>
      <c r="B17" s="3"/>
      <c r="C17" s="4"/>
      <c r="D17" s="154"/>
      <c r="E17" s="150"/>
      <c r="F17" s="5"/>
      <c r="G17" s="6"/>
      <c r="H17" s="6"/>
      <c r="I17" s="391"/>
      <c r="J17" s="4"/>
      <c r="K17" s="4"/>
      <c r="L17" s="4"/>
      <c r="M17" s="8"/>
      <c r="N17" s="9"/>
      <c r="O17" s="20"/>
      <c r="Y17" s="304"/>
    </row>
    <row r="18" spans="1:25" ht="14.5" customHeight="1" x14ac:dyDescent="0.2">
      <c r="A18" s="20"/>
      <c r="B18" s="114"/>
      <c r="C18" s="114"/>
      <c r="D18" s="215"/>
      <c r="E18" s="216"/>
      <c r="F18" s="217"/>
      <c r="G18" s="218"/>
      <c r="H18" s="218"/>
      <c r="I18" s="219"/>
      <c r="J18" s="114"/>
      <c r="K18" s="114"/>
      <c r="L18" s="114"/>
      <c r="M18" s="191"/>
      <c r="N18" s="114"/>
      <c r="O18" s="20"/>
      <c r="Y18" s="304"/>
    </row>
    <row r="19" spans="1:25" ht="14.5" customHeight="1" x14ac:dyDescent="0.2">
      <c r="A19" s="20"/>
      <c r="B19" s="13"/>
      <c r="C19" s="14"/>
      <c r="D19" s="470"/>
      <c r="E19" s="470"/>
      <c r="F19" s="289"/>
      <c r="G19" s="290"/>
      <c r="H19" s="458"/>
      <c r="I19" s="458"/>
      <c r="J19" s="14"/>
      <c r="K19" s="14"/>
      <c r="L19" s="14"/>
      <c r="M19" s="15"/>
      <c r="N19" s="16"/>
      <c r="O19" s="20"/>
    </row>
    <row r="20" spans="1:25" ht="14.5" customHeight="1" x14ac:dyDescent="0.2">
      <c r="A20" s="20"/>
      <c r="B20" s="12"/>
      <c r="C20" s="10"/>
      <c r="D20" s="457"/>
      <c r="E20" s="457"/>
      <c r="F20" s="291"/>
      <c r="G20" s="49"/>
      <c r="H20" s="459"/>
      <c r="I20" s="459"/>
      <c r="J20" s="10"/>
      <c r="K20" s="10"/>
      <c r="L20" s="10"/>
      <c r="M20" s="17"/>
      <c r="N20" s="11"/>
      <c r="O20" s="20"/>
    </row>
    <row r="21" spans="1:25" ht="14.5" customHeight="1" x14ac:dyDescent="0.2">
      <c r="A21" s="20"/>
      <c r="B21" s="12"/>
      <c r="C21" s="10"/>
      <c r="D21" s="457"/>
      <c r="E21" s="457"/>
      <c r="F21" s="291"/>
      <c r="G21" s="49"/>
      <c r="H21" s="459"/>
      <c r="I21" s="459"/>
      <c r="J21" s="10"/>
      <c r="K21" s="10"/>
      <c r="L21" s="10"/>
      <c r="M21" s="17"/>
      <c r="N21" s="11"/>
      <c r="O21" s="20"/>
    </row>
    <row r="22" spans="1:25" ht="14.5" customHeight="1" x14ac:dyDescent="0.2">
      <c r="A22" s="20"/>
      <c r="B22" s="12"/>
      <c r="C22" s="10"/>
      <c r="D22" s="457"/>
      <c r="E22" s="457"/>
      <c r="F22" s="291"/>
      <c r="G22" s="49"/>
      <c r="H22" s="459"/>
      <c r="I22" s="459"/>
      <c r="J22" s="10"/>
      <c r="K22" s="10"/>
      <c r="L22" s="10"/>
      <c r="M22" s="17"/>
      <c r="N22" s="11"/>
      <c r="O22" s="20"/>
    </row>
    <row r="23" spans="1:25" ht="14.5" customHeight="1" x14ac:dyDescent="0.2">
      <c r="A23" s="20"/>
      <c r="B23" s="12"/>
      <c r="C23" s="10"/>
      <c r="D23" s="457"/>
      <c r="E23" s="457"/>
      <c r="F23" s="291"/>
      <c r="G23" s="49"/>
      <c r="H23" s="459"/>
      <c r="I23" s="459"/>
      <c r="J23" s="10"/>
      <c r="K23" s="10"/>
      <c r="L23" s="10"/>
      <c r="M23" s="17"/>
      <c r="N23" s="11"/>
      <c r="O23" s="20"/>
    </row>
    <row r="24" spans="1:25" ht="14.5" customHeight="1" x14ac:dyDescent="0.2">
      <c r="A24" s="20"/>
      <c r="B24" s="12"/>
      <c r="C24" s="10"/>
      <c r="D24" s="457"/>
      <c r="E24" s="457"/>
      <c r="F24" s="291"/>
      <c r="G24" s="49"/>
      <c r="H24" s="459"/>
      <c r="I24" s="459"/>
      <c r="J24" s="10"/>
      <c r="K24" s="10"/>
      <c r="L24" s="10"/>
      <c r="M24" s="17"/>
      <c r="N24" s="11"/>
      <c r="O24" s="20"/>
    </row>
    <row r="25" spans="1:25" ht="14.5" customHeight="1" x14ac:dyDescent="0.2">
      <c r="A25" s="20"/>
      <c r="B25" s="12"/>
      <c r="C25" s="10"/>
      <c r="D25" s="457"/>
      <c r="E25" s="457"/>
      <c r="F25" s="291"/>
      <c r="G25" s="49"/>
      <c r="H25" s="459"/>
      <c r="I25" s="459"/>
      <c r="J25" s="10"/>
      <c r="K25" s="10"/>
      <c r="L25" s="10"/>
      <c r="M25" s="17"/>
      <c r="N25" s="11"/>
      <c r="O25" s="20"/>
    </row>
    <row r="26" spans="1:25" ht="14.5" customHeight="1" x14ac:dyDescent="0.2">
      <c r="A26" s="20"/>
      <c r="B26" s="12"/>
      <c r="C26" s="10"/>
      <c r="D26" s="457"/>
      <c r="E26" s="457"/>
      <c r="F26" s="291"/>
      <c r="G26" s="49"/>
      <c r="H26" s="459"/>
      <c r="I26" s="459"/>
      <c r="J26" s="10"/>
      <c r="K26" s="10"/>
      <c r="L26" s="10"/>
      <c r="M26" s="17"/>
      <c r="N26" s="11"/>
      <c r="O26" s="20"/>
    </row>
    <row r="27" spans="1:25" ht="14.5" customHeight="1" x14ac:dyDescent="0.2">
      <c r="A27" s="20"/>
      <c r="B27" s="12"/>
      <c r="C27" s="10"/>
      <c r="D27" s="457" t="s">
        <v>226</v>
      </c>
      <c r="E27" s="457"/>
      <c r="F27" s="292"/>
      <c r="G27" s="293"/>
      <c r="H27" s="468" t="s">
        <v>266</v>
      </c>
      <c r="I27" s="468"/>
      <c r="J27" s="33"/>
      <c r="K27" s="33"/>
      <c r="L27" s="462" t="s">
        <v>277</v>
      </c>
      <c r="M27" s="17"/>
      <c r="N27" s="11"/>
      <c r="O27" s="20"/>
    </row>
    <row r="28" spans="1:25" ht="15" x14ac:dyDescent="0.2">
      <c r="A28" s="20"/>
      <c r="B28" s="3"/>
      <c r="C28" s="4"/>
      <c r="D28" s="464"/>
      <c r="E28" s="464"/>
      <c r="F28" s="294"/>
      <c r="G28" s="295"/>
      <c r="H28" s="469"/>
      <c r="I28" s="469"/>
      <c r="J28" s="36"/>
      <c r="K28" s="36"/>
      <c r="L28" s="463"/>
      <c r="M28" s="8"/>
      <c r="N28" s="9"/>
      <c r="O28" s="20"/>
      <c r="S28" s="153"/>
      <c r="T28" s="220" t="s">
        <v>281</v>
      </c>
      <c r="U28" s="237" t="s">
        <v>282</v>
      </c>
      <c r="V28" s="229" t="s">
        <v>290</v>
      </c>
    </row>
    <row r="29" spans="1:25" ht="15" customHeight="1" x14ac:dyDescent="0.2">
      <c r="A29" s="20"/>
      <c r="B29" s="20"/>
      <c r="C29" s="20"/>
      <c r="D29" s="214"/>
      <c r="E29" s="20"/>
      <c r="F29" s="20"/>
      <c r="G29" s="20"/>
      <c r="H29" s="156"/>
      <c r="I29" s="20"/>
      <c r="J29" s="20"/>
      <c r="K29" s="20"/>
      <c r="L29" s="20"/>
      <c r="M29" s="21"/>
      <c r="N29" s="20"/>
      <c r="O29" s="20"/>
      <c r="T29" s="234" t="s">
        <v>226</v>
      </c>
      <c r="U29" s="227" t="s">
        <v>294</v>
      </c>
      <c r="V29" s="246" t="s">
        <v>298</v>
      </c>
    </row>
    <row r="30" spans="1:25" s="152" customFormat="1" ht="16" customHeight="1" x14ac:dyDescent="0.2">
      <c r="A30" s="41"/>
      <c r="B30" s="13"/>
      <c r="C30" s="140"/>
      <c r="D30" s="140"/>
      <c r="E30" s="14"/>
      <c r="F30" s="14"/>
      <c r="G30" s="14"/>
      <c r="H30" s="14"/>
      <c r="I30" s="14"/>
      <c r="J30" s="14"/>
      <c r="K30" s="14"/>
      <c r="L30" s="14"/>
      <c r="M30" s="15"/>
      <c r="N30" s="16"/>
      <c r="O30" s="41"/>
      <c r="T30" s="235" t="s">
        <v>266</v>
      </c>
      <c r="U30" s="236" t="s">
        <v>295</v>
      </c>
      <c r="V30" s="247" t="s">
        <v>330</v>
      </c>
    </row>
    <row r="31" spans="1:25" ht="15" x14ac:dyDescent="0.2">
      <c r="A31" s="20"/>
      <c r="B31" s="42"/>
      <c r="C31" s="78" t="s">
        <v>31</v>
      </c>
      <c r="D31" s="79"/>
      <c r="E31" s="80"/>
      <c r="F31" s="43"/>
      <c r="G31" s="78" t="s">
        <v>226</v>
      </c>
      <c r="H31" s="81"/>
      <c r="I31" s="82">
        <f>G32/(G32+K32)</f>
        <v>0.19354838709677419</v>
      </c>
      <c r="J31" s="63"/>
      <c r="K31" s="78" t="s">
        <v>228</v>
      </c>
      <c r="L31" s="79"/>
      <c r="M31" s="82">
        <f>K32/(G32+K32)</f>
        <v>0.80645161290322576</v>
      </c>
      <c r="N31" s="23"/>
      <c r="O31" s="20"/>
      <c r="P31" s="205"/>
      <c r="T31" s="228" t="s">
        <v>279</v>
      </c>
      <c r="U31" s="226" t="s">
        <v>293</v>
      </c>
      <c r="V31" s="248" t="s">
        <v>299</v>
      </c>
    </row>
    <row r="32" spans="1:25" ht="15" x14ac:dyDescent="0.2">
      <c r="A32" s="20"/>
      <c r="B32" s="22"/>
      <c r="C32" s="231" t="s">
        <v>8</v>
      </c>
      <c r="D32" s="14"/>
      <c r="E32" s="251">
        <v>6</v>
      </c>
      <c r="F32" s="27"/>
      <c r="G32" s="34">
        <f>G12*(E32*E33/E15)</f>
        <v>179.97646461616557</v>
      </c>
      <c r="H32" s="10" t="str">
        <f>IF(D39="poolish double fermented","g mel tipo 00 (eks. rød Caputo)","g mel tipo 00 (eks. blå Caputo)")</f>
        <v>g mel tipo 00 (eks. blå Caputo)</v>
      </c>
      <c r="I32" s="29"/>
      <c r="J32" s="10"/>
      <c r="K32" s="161">
        <f>K12*(E32*E33/E15)</f>
        <v>749.90193590068986</v>
      </c>
      <c r="L32" s="10" t="str">
        <f>H32</f>
        <v>g mel tipo 00 (eks. blå Caputo)</v>
      </c>
      <c r="M32" s="32"/>
      <c r="N32" s="11"/>
      <c r="O32" s="20"/>
      <c r="P32" s="206"/>
    </row>
    <row r="33" spans="1:25" ht="15" x14ac:dyDescent="0.2">
      <c r="A33" s="20"/>
      <c r="B33" s="22"/>
      <c r="C33" s="24" t="str">
        <f>IF(E35&lt;&gt;0.645,"Dej pr. pizza (ny vægt "&amp;ROUND(E34/E32,0)&amp;" g)","Dej pr. pizza")</f>
        <v>Dej pr. pizza</v>
      </c>
      <c r="D33" s="10"/>
      <c r="E33" s="252">
        <v>260</v>
      </c>
      <c r="F33" s="10"/>
      <c r="G33" s="34">
        <f>G13*(E32*E33/E15)</f>
        <v>179.97646461616557</v>
      </c>
      <c r="H33" s="10" t="s">
        <v>300</v>
      </c>
      <c r="I33" s="29"/>
      <c r="J33" s="10"/>
      <c r="K33" s="162">
        <f>E35*(G32+K32)-G33</f>
        <v>419.79510371720619</v>
      </c>
      <c r="L33" s="10" t="s">
        <v>300</v>
      </c>
      <c r="M33" s="32"/>
      <c r="N33" s="11"/>
      <c r="O33" s="20"/>
      <c r="P33" s="205"/>
      <c r="U33" s="207"/>
    </row>
    <row r="34" spans="1:25" ht="15" x14ac:dyDescent="0.2">
      <c r="A34" s="20"/>
      <c r="B34" s="22"/>
      <c r="C34" s="141" t="s">
        <v>10</v>
      </c>
      <c r="D34" s="10"/>
      <c r="E34" s="155">
        <f>SUM(K32:K35)</f>
        <v>1559.6970396178961</v>
      </c>
      <c r="F34" s="27"/>
      <c r="G34" s="157">
        <f>G14*(E32*E33/E15)</f>
        <v>3.0236046055515815</v>
      </c>
      <c r="H34" s="10" t="str">
        <f>"g tørgær (eller "&amp;ROUNDUP(G34*2,1)&amp;" g. frisk)"</f>
        <v>g tørgær (eller 6,1 g. frisk)</v>
      </c>
      <c r="I34" s="30"/>
      <c r="J34" s="159"/>
      <c r="K34" s="161">
        <f>ROUND((G32+K32)*E36,0)</f>
        <v>24</v>
      </c>
      <c r="L34" s="10" t="s">
        <v>34</v>
      </c>
      <c r="M34" s="160"/>
      <c r="N34" s="11"/>
      <c r="O34" s="20"/>
    </row>
    <row r="35" spans="1:25" ht="15" x14ac:dyDescent="0.2">
      <c r="A35" s="20"/>
      <c r="B35" s="22"/>
      <c r="C35" s="141" t="str">
        <f>IF(E35&lt;&gt;0.645,"Hydration (OBS på dej-vægt)","Hydrering")</f>
        <v>Hydrering</v>
      </c>
      <c r="D35" s="10"/>
      <c r="E35" s="253">
        <v>0.64500000000000002</v>
      </c>
      <c r="F35" s="27"/>
      <c r="G35" s="186">
        <f>(E32*E33/E15)*G15</f>
        <v>2.9996077436027595</v>
      </c>
      <c r="H35" s="50" t="s">
        <v>16</v>
      </c>
      <c r="I35" s="187"/>
      <c r="J35" s="159"/>
      <c r="K35" s="184">
        <f>ROUND(SUM(G32:G35),0)</f>
        <v>366</v>
      </c>
      <c r="L35" s="142" t="s">
        <v>227</v>
      </c>
      <c r="M35" s="185"/>
      <c r="N35" s="11"/>
      <c r="O35" s="20"/>
    </row>
    <row r="36" spans="1:25" ht="15" x14ac:dyDescent="0.2">
      <c r="A36" s="20"/>
      <c r="B36" s="22"/>
      <c r="C36" s="141" t="s">
        <v>265</v>
      </c>
      <c r="D36" s="10"/>
      <c r="E36" s="254">
        <v>2.5999999999999999E-2</v>
      </c>
      <c r="F36" s="27"/>
      <c r="G36" s="233">
        <f>SUM(G32:G35)</f>
        <v>365.97614158148548</v>
      </c>
      <c r="H36" s="6" t="s">
        <v>225</v>
      </c>
      <c r="I36" s="31"/>
      <c r="J36" s="10"/>
      <c r="K36" s="62">
        <f>SUM(K32:K35)</f>
        <v>1559.6970396178961</v>
      </c>
      <c r="L36" s="6" t="str">
        <f>"g total dej ("&amp;ROUND(SUM(K32:K34),0)&amp;" + "&amp;K35&amp;" g)"</f>
        <v>g total dej (1194 + 366 g)</v>
      </c>
      <c r="M36" s="26"/>
      <c r="N36" s="11"/>
      <c r="O36" s="20"/>
    </row>
    <row r="37" spans="1:25" ht="15" x14ac:dyDescent="0.2">
      <c r="A37" s="20"/>
      <c r="B37" s="22"/>
      <c r="C37" s="230" t="s">
        <v>328</v>
      </c>
      <c r="D37" s="10"/>
      <c r="E37" s="255" t="s">
        <v>213</v>
      </c>
      <c r="F37" s="27"/>
      <c r="G37" s="467" t="str">
        <f>VLOOKUP(D39,T29:V31,3,FALSE)</f>
        <v>Poolish er med til at udvikle smagen i brødet og giver en bedre skorpe.</v>
      </c>
      <c r="H37" s="467"/>
      <c r="I37" s="467"/>
      <c r="J37" s="467"/>
      <c r="K37" s="467"/>
      <c r="L37" s="467"/>
      <c r="M37" s="467"/>
      <c r="N37" s="11"/>
      <c r="O37" s="20"/>
    </row>
    <row r="38" spans="1:25" ht="15" x14ac:dyDescent="0.2">
      <c r="A38" s="20"/>
      <c r="B38" s="22"/>
      <c r="C38" s="230" t="s">
        <v>270</v>
      </c>
      <c r="D38" s="10"/>
      <c r="E38" s="232"/>
      <c r="F38" s="27"/>
      <c r="G38" s="467"/>
      <c r="H38" s="467"/>
      <c r="I38" s="467"/>
      <c r="J38" s="467"/>
      <c r="K38" s="467"/>
      <c r="L38" s="467"/>
      <c r="M38" s="467"/>
      <c r="N38" s="11"/>
      <c r="O38" s="20"/>
    </row>
    <row r="39" spans="1:25" ht="15" x14ac:dyDescent="0.2">
      <c r="A39" s="20"/>
      <c r="B39" s="22"/>
      <c r="C39" s="158"/>
      <c r="D39" s="465" t="s">
        <v>226</v>
      </c>
      <c r="E39" s="466"/>
      <c r="F39" s="27"/>
      <c r="G39" s="259" t="str">
        <f>VLOOKUP(D39,T29:V31,2,FALSE)</f>
        <v>Samlet tid for tilberedning af dej: 21-29 timer</v>
      </c>
      <c r="H39" s="256"/>
      <c r="I39" s="46"/>
      <c r="J39" s="46"/>
      <c r="K39" s="257"/>
      <c r="L39" s="256"/>
      <c r="M39" s="258"/>
      <c r="N39" s="11"/>
      <c r="O39" s="20"/>
    </row>
    <row r="40" spans="1:25" ht="15" x14ac:dyDescent="0.2">
      <c r="A40" s="20"/>
      <c r="B40" s="238"/>
      <c r="C40" s="239"/>
      <c r="D40" s="240"/>
      <c r="E40" s="240"/>
      <c r="F40" s="241"/>
      <c r="G40" s="242"/>
      <c r="H40" s="243"/>
      <c r="I40" s="200"/>
      <c r="J40" s="200"/>
      <c r="K40" s="244"/>
      <c r="L40" s="243"/>
      <c r="M40" s="245"/>
      <c r="N40" s="201"/>
      <c r="O40" s="20"/>
      <c r="V40" s="250"/>
    </row>
    <row r="41" spans="1:25" ht="15" x14ac:dyDescent="0.2">
      <c r="A41" s="20"/>
      <c r="B41" s="37"/>
      <c r="C41" s="38"/>
      <c r="D41" s="38"/>
      <c r="E41" s="37"/>
      <c r="F41" s="37"/>
      <c r="G41" s="37"/>
      <c r="H41" s="20"/>
      <c r="I41" s="20"/>
      <c r="J41" s="20"/>
      <c r="K41" s="20"/>
      <c r="L41" s="20"/>
      <c r="M41" s="21"/>
      <c r="N41" s="20"/>
      <c r="O41" s="20"/>
      <c r="P41" s="304"/>
      <c r="Q41" s="304"/>
    </row>
    <row r="42" spans="1:25" ht="15" x14ac:dyDescent="0.2">
      <c r="A42" s="20"/>
      <c r="B42" s="47"/>
      <c r="C42" s="460" t="s">
        <v>11</v>
      </c>
      <c r="D42" s="460"/>
      <c r="E42" s="44"/>
      <c r="F42" s="44"/>
      <c r="G42" s="44"/>
      <c r="H42" s="14"/>
      <c r="I42" s="14"/>
      <c r="J42" s="14"/>
      <c r="K42" s="14"/>
      <c r="L42" s="14"/>
      <c r="M42" s="15"/>
      <c r="N42" s="16"/>
      <c r="O42" s="20"/>
    </row>
    <row r="43" spans="1:25" ht="15" x14ac:dyDescent="0.2">
      <c r="A43" s="20"/>
      <c r="B43" s="22"/>
      <c r="C43" s="461"/>
      <c r="D43" s="461"/>
      <c r="E43" s="27"/>
      <c r="F43" s="27"/>
      <c r="G43" s="27"/>
      <c r="H43" s="10"/>
      <c r="I43" s="10"/>
      <c r="J43" s="10"/>
      <c r="K43" s="10"/>
      <c r="L43" s="10"/>
      <c r="M43" s="17"/>
      <c r="N43" s="11"/>
      <c r="O43" s="20"/>
      <c r="P43" s="321" t="s">
        <v>269</v>
      </c>
      <c r="Q43" s="322" t="str">
        <f>D39</f>
        <v>Poolish</v>
      </c>
      <c r="R43" s="323"/>
      <c r="S43" s="227"/>
      <c r="T43" s="300" t="s">
        <v>268</v>
      </c>
      <c r="U43" s="301" t="s">
        <v>292</v>
      </c>
      <c r="V43" s="300" t="s">
        <v>278</v>
      </c>
      <c r="W43" s="296" t="s">
        <v>268</v>
      </c>
      <c r="X43" s="297" t="s">
        <v>266</v>
      </c>
      <c r="Y43" s="296" t="s">
        <v>278</v>
      </c>
    </row>
    <row r="44" spans="1:25" ht="15" x14ac:dyDescent="0.2">
      <c r="A44" s="20"/>
      <c r="B44" s="12"/>
      <c r="C44" s="36" t="s">
        <v>0</v>
      </c>
      <c r="D44" s="36" t="s">
        <v>13</v>
      </c>
      <c r="E44" s="36"/>
      <c r="F44" s="36"/>
      <c r="G44" s="4"/>
      <c r="H44" s="4"/>
      <c r="I44" s="4"/>
      <c r="J44" s="4"/>
      <c r="K44" s="4"/>
      <c r="L44" s="4"/>
      <c r="M44" s="8"/>
      <c r="N44" s="11"/>
      <c r="O44" s="20"/>
      <c r="P44" s="324" t="s">
        <v>214</v>
      </c>
      <c r="Q44" s="325" t="s">
        <v>213</v>
      </c>
      <c r="R44" s="114"/>
      <c r="S44" s="314"/>
      <c r="T44" s="302" t="s">
        <v>214</v>
      </c>
      <c r="U44" s="303" t="s">
        <v>214</v>
      </c>
      <c r="V44" s="302" t="s">
        <v>214</v>
      </c>
      <c r="W44" s="298" t="s">
        <v>213</v>
      </c>
      <c r="X44" s="299" t="s">
        <v>213</v>
      </c>
      <c r="Y44" s="299" t="s">
        <v>213</v>
      </c>
    </row>
    <row r="45" spans="1:25" ht="5" customHeight="1" x14ac:dyDescent="0.2">
      <c r="A45" s="20"/>
      <c r="B45" s="12"/>
      <c r="C45" s="10"/>
      <c r="D45" s="10"/>
      <c r="E45" s="10"/>
      <c r="F45" s="10"/>
      <c r="G45" s="10"/>
      <c r="H45" s="10"/>
      <c r="I45" s="10"/>
      <c r="J45" s="10"/>
      <c r="K45" s="10"/>
      <c r="L45" s="10"/>
      <c r="M45" s="17"/>
      <c r="N45" s="11"/>
      <c r="O45" s="20"/>
      <c r="P45" s="312"/>
      <c r="Q45" s="326"/>
      <c r="R45" s="114"/>
      <c r="S45" s="314"/>
      <c r="T45" s="221"/>
      <c r="U45" s="221"/>
      <c r="V45" s="221"/>
      <c r="W45" s="249"/>
      <c r="X45" s="222"/>
      <c r="Y45" s="222"/>
    </row>
    <row r="46" spans="1:25" ht="15" x14ac:dyDescent="0.2">
      <c r="A46" s="20"/>
      <c r="B46" s="12"/>
      <c r="C46" s="115">
        <v>1</v>
      </c>
      <c r="D46" s="311" t="str">
        <f>HLOOKUP($E$37,$P$44:$Q$72,3,FALSE)</f>
        <v>Rør gær og honning ud i vandet.</v>
      </c>
      <c r="E46" s="10"/>
      <c r="F46" s="10"/>
      <c r="G46" s="10"/>
      <c r="H46" s="10"/>
      <c r="I46" s="1"/>
      <c r="J46" s="10"/>
      <c r="K46" s="10"/>
      <c r="L46" s="83" t="str">
        <f>ROUND(G33,0)&amp;" ml vand, "&amp;ROUND(G34,1)&amp;" g. gær, "&amp;ROUND(G35,1)&amp;" g. honning."</f>
        <v>180 ml vand, 3 g. gær, 3 g. honning.</v>
      </c>
      <c r="M46" s="84"/>
      <c r="N46" s="11"/>
      <c r="O46" s="20"/>
      <c r="P46" s="327" t="str">
        <f>HLOOKUP($D$39,$T$43:$V$72,4,FALSE)</f>
        <v>Gær og honning røres ud i vandet.</v>
      </c>
      <c r="Q46" s="328" t="str">
        <f>HLOOKUP($D$39,$W$43:$Y$72,4,FALSE)</f>
        <v>Rør gær og honning ud i vandet.</v>
      </c>
      <c r="R46" s="207"/>
      <c r="S46" s="222"/>
      <c r="T46" s="221" t="s">
        <v>1</v>
      </c>
      <c r="U46" s="221" t="s">
        <v>1</v>
      </c>
      <c r="V46" s="221" t="s">
        <v>1</v>
      </c>
      <c r="W46" s="249" t="s">
        <v>215</v>
      </c>
      <c r="X46" s="222" t="s">
        <v>215</v>
      </c>
      <c r="Y46" s="221" t="s">
        <v>1</v>
      </c>
    </row>
    <row r="47" spans="1:25" ht="15" x14ac:dyDescent="0.2">
      <c r="A47" s="20"/>
      <c r="B47" s="12"/>
      <c r="C47" s="115">
        <v>2</v>
      </c>
      <c r="D47" s="311" t="str">
        <f>HLOOKUP($E$37,$P$44:$Q$72,4,FALSE)</f>
        <v>Tilsæt halvdelen af melet og rør godt sammen.</v>
      </c>
      <c r="E47" s="10"/>
      <c r="F47" s="10"/>
      <c r="G47" s="10"/>
      <c r="H47" s="10"/>
      <c r="I47" s="10"/>
      <c r="J47" s="10"/>
      <c r="K47" s="10"/>
      <c r="L47" s="85" t="str">
        <f>"~"&amp;ROUND(G32/2,0)&amp;" g. mel."</f>
        <v>~90 g. mel.</v>
      </c>
      <c r="M47" s="86"/>
      <c r="N47" s="11"/>
      <c r="O47" s="20"/>
      <c r="P47" s="327" t="str">
        <f>HLOOKUP($D$39,$T$43:$V$72,5,FALSE)</f>
        <v>Tilsæt halvdelen af melet og rør godt sammen.</v>
      </c>
      <c r="Q47" s="328" t="str">
        <f>HLOOKUP($D$39,$W$43:$Y$72,5,FALSE)</f>
        <v>Tilsæt halvdelen af melet og rør godt sammen.</v>
      </c>
      <c r="R47" s="207"/>
      <c r="S47" s="222"/>
      <c r="T47" s="221" t="s">
        <v>12</v>
      </c>
      <c r="U47" s="221" t="s">
        <v>12</v>
      </c>
      <c r="V47" s="221" t="s">
        <v>12</v>
      </c>
      <c r="W47" s="249" t="s">
        <v>12</v>
      </c>
      <c r="X47" s="222" t="s">
        <v>12</v>
      </c>
      <c r="Y47" s="222" t="s">
        <v>12</v>
      </c>
    </row>
    <row r="48" spans="1:25" ht="15" x14ac:dyDescent="0.2">
      <c r="A48" s="20"/>
      <c r="B48" s="12"/>
      <c r="C48" s="115">
        <v>3</v>
      </c>
      <c r="D48" s="311" t="str">
        <f>HLOOKUP($E$37,$P$44:$Q$72,5,FALSE)</f>
        <v>Tilsæt resten af melet og rør godt sammen.</v>
      </c>
      <c r="E48" s="10"/>
      <c r="F48" s="10"/>
      <c r="G48" s="10"/>
      <c r="H48" s="10"/>
      <c r="I48" s="10"/>
      <c r="J48" s="10"/>
      <c r="K48" s="10"/>
      <c r="L48" s="87" t="str">
        <f>L47</f>
        <v>~90 g. mel.</v>
      </c>
      <c r="M48" s="88"/>
      <c r="N48" s="11"/>
      <c r="O48" s="20"/>
      <c r="P48" s="327" t="str">
        <f>HLOOKUP($D$39,$T$43:$V$72,6,FALSE)</f>
        <v>Tilsæt resten af melet og rør godt sammen.</v>
      </c>
      <c r="Q48" s="328" t="str">
        <f>HLOOKUP($D$39,$W$43:$Y$72,6,FALSE)</f>
        <v>Tilsæt resten af melet og rør godt sammen.</v>
      </c>
      <c r="R48" s="207"/>
      <c r="S48" s="222"/>
      <c r="T48" s="221" t="s">
        <v>2</v>
      </c>
      <c r="U48" s="221" t="s">
        <v>2</v>
      </c>
      <c r="V48" s="221" t="s">
        <v>2</v>
      </c>
      <c r="W48" s="249" t="s">
        <v>2</v>
      </c>
      <c r="X48" s="222" t="s">
        <v>2</v>
      </c>
      <c r="Y48" s="222" t="s">
        <v>2</v>
      </c>
    </row>
    <row r="49" spans="1:27" ht="15" x14ac:dyDescent="0.2">
      <c r="A49" s="20"/>
      <c r="B49" s="12"/>
      <c r="C49" s="115">
        <v>4</v>
      </c>
      <c r="D49" s="311" t="str">
        <f>HLOOKUP($E$37,$P$44:$Q$72,6,FALSE)</f>
        <v>Lad det hvile tildækket 1 time ved stuetemperatur.</v>
      </c>
      <c r="E49" s="10"/>
      <c r="F49" s="10"/>
      <c r="G49" s="10"/>
      <c r="H49" s="10"/>
      <c r="I49" s="10"/>
      <c r="J49" s="10"/>
      <c r="K49" s="10"/>
      <c r="L49" s="198" t="s">
        <v>260</v>
      </c>
      <c r="M49" s="192"/>
      <c r="N49" s="11"/>
      <c r="O49" s="20"/>
      <c r="P49" s="327" t="str">
        <f>HLOOKUP($D$39,$T$43:$V$72,7,FALSE)</f>
        <v>Lad det hæve i en lukket beholder (låg eller film) i 1 time ved stuetemperatur.</v>
      </c>
      <c r="Q49" s="328" t="str">
        <f>HLOOKUP($D$39,$W$43:$Y$72,7,FALSE)</f>
        <v>Lad det hvile tildækket 1 time ved stuetemperatur.</v>
      </c>
      <c r="R49" s="207"/>
      <c r="S49" s="222"/>
      <c r="T49" s="223" t="s">
        <v>255</v>
      </c>
      <c r="U49" s="223" t="s">
        <v>255</v>
      </c>
      <c r="V49" s="249" t="s">
        <v>314</v>
      </c>
      <c r="W49" s="249" t="s">
        <v>280</v>
      </c>
      <c r="X49" s="222" t="s">
        <v>280</v>
      </c>
      <c r="Y49" s="249" t="s">
        <v>280</v>
      </c>
    </row>
    <row r="50" spans="1:27" ht="15" x14ac:dyDescent="0.2">
      <c r="A50" s="20"/>
      <c r="B50" s="12"/>
      <c r="C50" s="115">
        <v>5</v>
      </c>
      <c r="D50" s="311" t="str">
        <f>HLOOKUP($E$37,$P$44:$Q$72,7,FALSE)</f>
        <v>Herefter i køleskab i 16-24 timer.</v>
      </c>
      <c r="E50" s="10"/>
      <c r="F50" s="10"/>
      <c r="G50" s="10"/>
      <c r="H50" s="10"/>
      <c r="I50" s="10"/>
      <c r="J50" s="10"/>
      <c r="K50" s="10"/>
      <c r="L50" s="199" t="s">
        <v>256</v>
      </c>
      <c r="M50" s="193"/>
      <c r="N50" s="11"/>
      <c r="O50" s="20"/>
      <c r="P50" s="327" t="str">
        <f>HLOOKUP($D$39,$T$43:$V$72,8,FALSE)</f>
        <v>Sæt poolishen (stadig i lukket beholder) i køleskabet i 16-24 timer.</v>
      </c>
      <c r="Q50" s="328" t="str">
        <f>HLOOKUP($D$39,$W$43:$Y$72,8,FALSE)</f>
        <v>Herefter i køleskab i 16-24 timer.</v>
      </c>
      <c r="R50" s="207"/>
      <c r="S50" s="222"/>
      <c r="T50" s="223" t="s">
        <v>267</v>
      </c>
      <c r="U50" s="221" t="s">
        <v>318</v>
      </c>
      <c r="V50" s="249" t="s">
        <v>271</v>
      </c>
      <c r="W50" s="249" t="s">
        <v>271</v>
      </c>
      <c r="X50" s="222" t="s">
        <v>319</v>
      </c>
      <c r="Y50" s="249" t="s">
        <v>271</v>
      </c>
    </row>
    <row r="51" spans="1:27" ht="15" x14ac:dyDescent="0.2">
      <c r="A51" s="20"/>
      <c r="B51" s="12"/>
      <c r="C51" s="27"/>
      <c r="D51" s="10"/>
      <c r="E51" s="10"/>
      <c r="F51" s="10"/>
      <c r="G51" s="10"/>
      <c r="H51" s="10"/>
      <c r="I51" s="10"/>
      <c r="J51" s="10"/>
      <c r="K51" s="10"/>
      <c r="L51" s="260" t="s">
        <v>297</v>
      </c>
      <c r="M51" s="261"/>
      <c r="N51" s="11"/>
      <c r="O51" s="20"/>
      <c r="P51" s="329"/>
      <c r="Q51" s="326"/>
      <c r="R51" s="114"/>
      <c r="S51" s="314"/>
      <c r="T51" s="312"/>
      <c r="U51" s="312"/>
      <c r="V51" s="312"/>
      <c r="W51" s="313"/>
      <c r="X51" s="314"/>
      <c r="Y51" s="314"/>
    </row>
    <row r="52" spans="1:27" ht="15" x14ac:dyDescent="0.2">
      <c r="A52" s="20"/>
      <c r="B52" s="12"/>
      <c r="C52" s="36" t="s">
        <v>4</v>
      </c>
      <c r="D52" s="36" t="s">
        <v>228</v>
      </c>
      <c r="E52" s="190" t="str">
        <f>IF(D39&lt;&gt;"poolish","","(påbegynd ca. 4 timer før pizzaerne skal i ovnen)")</f>
        <v>(påbegynd ca. 4 timer før pizzaerne skal i ovnen)</v>
      </c>
      <c r="F52" s="36"/>
      <c r="G52" s="4"/>
      <c r="H52" s="4"/>
      <c r="I52" s="4"/>
      <c r="J52" s="4"/>
      <c r="K52" s="4"/>
      <c r="L52" s="4"/>
      <c r="M52" s="8"/>
      <c r="N52" s="11"/>
      <c r="O52" s="20"/>
      <c r="P52" s="329"/>
      <c r="Q52" s="326"/>
      <c r="R52" s="114"/>
      <c r="S52" s="314"/>
      <c r="T52" s="312"/>
      <c r="U52" s="312"/>
      <c r="V52" s="312"/>
      <c r="W52" s="313"/>
      <c r="X52" s="314"/>
      <c r="Y52" s="314"/>
    </row>
    <row r="53" spans="1:27" ht="7.5" customHeight="1" x14ac:dyDescent="0.2">
      <c r="A53" s="20"/>
      <c r="B53" s="12"/>
      <c r="C53" s="33"/>
      <c r="D53" s="33"/>
      <c r="E53" s="33"/>
      <c r="F53" s="33"/>
      <c r="G53" s="10"/>
      <c r="H53" s="10"/>
      <c r="I53" s="10"/>
      <c r="J53" s="10"/>
      <c r="K53" s="10"/>
      <c r="L53" s="10"/>
      <c r="M53" s="210"/>
      <c r="N53" s="11"/>
      <c r="O53" s="20"/>
      <c r="P53" s="329"/>
      <c r="Q53" s="326"/>
      <c r="R53" s="114"/>
      <c r="S53" s="314"/>
      <c r="T53" s="312"/>
      <c r="U53" s="312"/>
      <c r="V53" s="312"/>
      <c r="W53" s="313"/>
      <c r="X53" s="314"/>
      <c r="Y53" s="314"/>
    </row>
    <row r="54" spans="1:27" ht="15" x14ac:dyDescent="0.2">
      <c r="A54" s="20"/>
      <c r="B54" s="12"/>
      <c r="C54" s="115">
        <v>6</v>
      </c>
      <c r="D54" s="10" t="str">
        <f>HLOOKUP($E$37,$P$44:$Q$72,11,FALSE)</f>
        <v>Lad poolish hvile 20 min ved stuetemperattur.</v>
      </c>
      <c r="E54" s="33"/>
      <c r="F54" s="33"/>
      <c r="G54" s="10"/>
      <c r="H54" s="10"/>
      <c r="I54" s="10"/>
      <c r="J54" s="10"/>
      <c r="K54" s="10"/>
      <c r="L54" s="67"/>
      <c r="M54" s="209"/>
      <c r="N54" s="11"/>
      <c r="O54" s="20"/>
      <c r="P54" s="327" t="str">
        <f>HLOOKUP($D$39,$T$43:$V$72,12,FALSE)</f>
        <v>Tag poolish'en ud af køleskabet og lad den stå ved stuetemperatur (20-25°) i 20 min.</v>
      </c>
      <c r="Q54" s="328" t="str">
        <f>HLOOKUP($D$39,$W$43:$Y$72,12,FALSE)</f>
        <v>Lad poolish hvile 20 min ved stuetemperattur.</v>
      </c>
      <c r="R54" s="207"/>
      <c r="S54" s="222"/>
      <c r="T54" s="223" t="s">
        <v>296</v>
      </c>
      <c r="U54" s="223" t="s">
        <v>296</v>
      </c>
      <c r="V54" s="221" t="s">
        <v>315</v>
      </c>
      <c r="W54" s="249" t="s">
        <v>224</v>
      </c>
      <c r="X54" s="249" t="s">
        <v>224</v>
      </c>
      <c r="Y54" s="221" t="s">
        <v>315</v>
      </c>
    </row>
    <row r="55" spans="1:27" ht="15" x14ac:dyDescent="0.2">
      <c r="A55" s="20"/>
      <c r="B55" s="12"/>
      <c r="C55" s="115">
        <v>7</v>
      </c>
      <c r="D55" s="10" t="str">
        <f>HLOOKUP($E$37,$P$44:$Q$72,12,FALSE)</f>
        <v>Rør poolish ud i vandet og tilsæt halvdelen af melet.</v>
      </c>
      <c r="E55" s="10"/>
      <c r="F55" s="10"/>
      <c r="G55" s="10"/>
      <c r="H55" s="10"/>
      <c r="I55" s="10"/>
      <c r="J55" s="10"/>
      <c r="K55" s="10"/>
      <c r="L55" s="83" t="str">
        <f>ROUND(K33,0)&amp;" ml. vand, poolish og ~"&amp;ROUND(K32/2,0)&amp;" g. mel."</f>
        <v>420 ml. vand, poolish og ~375 g. mel.</v>
      </c>
      <c r="M55" s="84"/>
      <c r="N55" s="11"/>
      <c r="O55" s="20"/>
      <c r="P55" s="327" t="str">
        <f>HLOOKUP($D$39,$T$43:$V$72,13,FALSE)</f>
        <v>Poolish'en røres ud i vandet, hvorefter halvdelen af melet tilsættes og blandes.</v>
      </c>
      <c r="Q55" s="328" t="str">
        <f>HLOOKUP($D$39,$W$43:$Y$72,13,FALSE)</f>
        <v>Rør poolish ud i vandet og tilsæt halvdelen af melet.</v>
      </c>
      <c r="R55" s="207"/>
      <c r="S55" s="222"/>
      <c r="T55" s="221" t="s">
        <v>5</v>
      </c>
      <c r="U55" s="221" t="s">
        <v>5</v>
      </c>
      <c r="V55" s="222" t="s">
        <v>322</v>
      </c>
      <c r="W55" s="249" t="s">
        <v>216</v>
      </c>
      <c r="X55" s="222" t="s">
        <v>216</v>
      </c>
      <c r="Y55" s="222" t="s">
        <v>285</v>
      </c>
    </row>
    <row r="56" spans="1:27" ht="15" x14ac:dyDescent="0.2">
      <c r="A56" s="20"/>
      <c r="B56" s="12"/>
      <c r="C56" s="115">
        <v>8</v>
      </c>
      <c r="D56" s="10" t="str">
        <f>HLOOKUP($E$37,$P$44:$Q$72,13,FALSE)</f>
        <v>Tilsæt salt og resten af melet og rør sammen.</v>
      </c>
      <c r="E56" s="10"/>
      <c r="F56" s="10"/>
      <c r="G56" s="10"/>
      <c r="H56" s="10"/>
      <c r="I56" s="10"/>
      <c r="J56" s="10"/>
      <c r="K56" s="10"/>
      <c r="L56" s="87" t="str">
        <f>ROUND(K34,0)&amp;" g. salt og ~"&amp;ROUND(K32/2,0)&amp;" g. mel."</f>
        <v>24 g. salt og ~375 g. mel.</v>
      </c>
      <c r="M56" s="88"/>
      <c r="N56" s="11"/>
      <c r="O56" s="20"/>
      <c r="P56" s="327" t="str">
        <f>HLOOKUP($D$39,$T$43:$V$72,14,FALSE)</f>
        <v>Tilsæt salt og resten af melet og ælt dejen godt.</v>
      </c>
      <c r="Q56" s="328" t="str">
        <f>HLOOKUP($D$39,$W$43:$Y$72,14,FALSE)</f>
        <v>Tilsæt salt og resten af melet og rør sammen.</v>
      </c>
      <c r="R56" s="207"/>
      <c r="S56" s="222"/>
      <c r="T56" s="221" t="s">
        <v>30</v>
      </c>
      <c r="U56" s="221" t="s">
        <v>30</v>
      </c>
      <c r="V56" s="222" t="s">
        <v>286</v>
      </c>
      <c r="W56" s="249" t="s">
        <v>251</v>
      </c>
      <c r="X56" s="222" t="s">
        <v>251</v>
      </c>
      <c r="Y56" s="222" t="s">
        <v>286</v>
      </c>
    </row>
    <row r="57" spans="1:27" ht="6" hidden="1" customHeight="1" x14ac:dyDescent="0.2">
      <c r="A57" s="20"/>
      <c r="B57" s="12"/>
      <c r="C57" s="115"/>
      <c r="D57" s="10"/>
      <c r="E57" s="10"/>
      <c r="F57" s="10"/>
      <c r="G57" s="10"/>
      <c r="H57" s="10"/>
      <c r="I57" s="10"/>
      <c r="J57" s="10"/>
      <c r="K57" s="10"/>
      <c r="L57" s="48"/>
      <c r="M57" s="17"/>
      <c r="N57" s="11"/>
      <c r="O57" s="20"/>
      <c r="P57" s="327"/>
      <c r="Q57" s="328"/>
      <c r="R57" s="207"/>
      <c r="S57" s="222"/>
      <c r="T57" s="221"/>
      <c r="U57" s="221"/>
      <c r="V57" s="222"/>
      <c r="W57" s="249"/>
      <c r="X57" s="222"/>
      <c r="Y57" s="222"/>
    </row>
    <row r="58" spans="1:27" ht="15" x14ac:dyDescent="0.2">
      <c r="A58" s="20"/>
      <c r="B58" s="12"/>
      <c r="C58" s="115">
        <v>9</v>
      </c>
      <c r="D58" s="10" t="str">
        <f>HLOOKUP($E$37,$P$44:$Q$72,15,FALSE)</f>
        <v>Vend dejen ud på bordet og lad den hvile tildækket i 15 min.</v>
      </c>
      <c r="E58" s="10"/>
      <c r="F58" s="10"/>
      <c r="G58" s="10"/>
      <c r="H58" s="10"/>
      <c r="I58" s="10"/>
      <c r="J58" s="10"/>
      <c r="K58" s="10"/>
      <c r="L58" s="67"/>
      <c r="M58" s="209"/>
      <c r="N58" s="11"/>
      <c r="O58" s="20"/>
      <c r="P58" s="327" t="str">
        <f>HLOOKUP($D$39,$T$43:$V$72,16,FALSE)</f>
        <v>Vend dejen ud på bordet. Tag evt. lidt olie på hænderne for bedre at kunne håndtere den.</v>
      </c>
      <c r="Q58" s="328" t="str">
        <f>HLOOKUP($D$39,$W$43:$Y$72,16,FALSE)</f>
        <v>Vend dejen ud på bordet og lad den hvile tildækket i 15 min.</v>
      </c>
      <c r="R58" s="207"/>
      <c r="S58" s="222"/>
      <c r="T58" s="221" t="s">
        <v>217</v>
      </c>
      <c r="U58" s="221" t="s">
        <v>217</v>
      </c>
      <c r="V58" s="222" t="s">
        <v>320</v>
      </c>
      <c r="W58" s="249" t="s">
        <v>222</v>
      </c>
      <c r="X58" s="222" t="s">
        <v>222</v>
      </c>
      <c r="Y58" s="222" t="s">
        <v>323</v>
      </c>
    </row>
    <row r="59" spans="1:27" ht="15" x14ac:dyDescent="0.2">
      <c r="A59" s="20"/>
      <c r="B59" s="12"/>
      <c r="C59" s="333" t="str">
        <f>IF(D39="Poolish + autolysis",10,"")</f>
        <v/>
      </c>
      <c r="D59" s="10" t="str">
        <f>HLOOKUP($E$37,$P$44:$Q$72,16,FALSE)</f>
        <v xml:space="preserve"> </v>
      </c>
      <c r="E59" s="10"/>
      <c r="F59" s="10"/>
      <c r="G59" s="10"/>
      <c r="H59" s="10"/>
      <c r="I59" s="10"/>
      <c r="J59" s="10"/>
      <c r="K59" s="10"/>
      <c r="L59" s="10"/>
      <c r="M59" s="17"/>
      <c r="N59" s="11"/>
      <c r="O59" s="20"/>
      <c r="P59" s="327" t="str">
        <f>HLOOKUP($D$39,$T$43:$V$72,17,FALSE)</f>
        <v>Lad den hvile tildækket i 15 min. Vend en skål ovenpå med bunden op.</v>
      </c>
      <c r="Q59" s="328" t="str">
        <f>HLOOKUP($D$39,$W$43:$Y$72,17,FALSE)</f>
        <v xml:space="preserve"> </v>
      </c>
      <c r="R59" s="207"/>
      <c r="S59" s="222"/>
      <c r="T59" s="224" t="s">
        <v>211</v>
      </c>
      <c r="U59" s="224" t="s">
        <v>211</v>
      </c>
      <c r="V59" s="222" t="s">
        <v>287</v>
      </c>
      <c r="W59" s="249" t="s">
        <v>220</v>
      </c>
      <c r="X59" s="222" t="s">
        <v>220</v>
      </c>
      <c r="Y59" s="222" t="s">
        <v>287</v>
      </c>
      <c r="Z59" s="207"/>
      <c r="AA59" s="207"/>
    </row>
    <row r="60" spans="1:27" ht="6" hidden="1" customHeight="1" x14ac:dyDescent="0.2">
      <c r="A60" s="20"/>
      <c r="B60" s="12"/>
      <c r="C60" s="27"/>
      <c r="D60" s="10"/>
      <c r="E60" s="10"/>
      <c r="F60" s="10"/>
      <c r="G60" s="10"/>
      <c r="H60" s="10"/>
      <c r="I60" s="10"/>
      <c r="J60" s="10"/>
      <c r="K60" s="10"/>
      <c r="L60" s="46"/>
      <c r="M60" s="17"/>
      <c r="N60" s="11"/>
      <c r="O60" s="20"/>
      <c r="P60" s="329"/>
      <c r="Q60" s="326"/>
      <c r="R60" s="114"/>
      <c r="S60" s="314"/>
      <c r="T60" s="312"/>
      <c r="U60" s="312"/>
      <c r="V60" s="314"/>
      <c r="W60" s="313"/>
      <c r="X60" s="314"/>
      <c r="Y60" s="314"/>
    </row>
    <row r="61" spans="1:27" ht="15" x14ac:dyDescent="0.2">
      <c r="A61" s="20"/>
      <c r="B61" s="12"/>
      <c r="C61" s="316"/>
      <c r="D61" s="320" t="str">
        <f>HLOOKUP($E$37,$P$44:$Q$72,18,FALSE)</f>
        <v>Tip: Fra nu af skal du sørge for holde overside af dejen op under hele processen.</v>
      </c>
      <c r="E61" s="319"/>
      <c r="F61" s="319"/>
      <c r="G61" s="319"/>
      <c r="H61" s="319"/>
      <c r="I61" s="318"/>
      <c r="J61" s="318"/>
      <c r="K61" s="10"/>
      <c r="L61" s="10"/>
      <c r="M61" s="17"/>
      <c r="N61" s="11"/>
      <c r="O61" s="20"/>
      <c r="P61" s="329" t="str">
        <f>HLOOKUP($D$39,$T$43:$V$72,19,FALSE)</f>
        <v>Tip: Fra nu af skal du sørge for holde overside af dejen op under hele processen.</v>
      </c>
      <c r="Q61" s="326" t="str">
        <f>HLOOKUP($D$39,$W$43:$Y$72,19,FALSE)</f>
        <v>Tip: Fra nu af skal du sørge for holde overside af dejen op under hele processen.</v>
      </c>
      <c r="R61" s="114"/>
      <c r="S61" s="314"/>
      <c r="T61" s="315" t="s">
        <v>317</v>
      </c>
      <c r="U61" s="315" t="s">
        <v>317</v>
      </c>
      <c r="V61" s="315" t="s">
        <v>317</v>
      </c>
      <c r="W61" s="313" t="s">
        <v>317</v>
      </c>
      <c r="X61" s="314" t="s">
        <v>317</v>
      </c>
      <c r="Y61" s="315" t="s">
        <v>317</v>
      </c>
    </row>
    <row r="62" spans="1:27" ht="6" hidden="1" customHeight="1" x14ac:dyDescent="0.2">
      <c r="A62" s="20"/>
      <c r="B62" s="12"/>
      <c r="C62" s="27"/>
      <c r="D62" s="10"/>
      <c r="E62" s="10"/>
      <c r="F62" s="10"/>
      <c r="G62" s="10"/>
      <c r="H62" s="10"/>
      <c r="I62" s="10"/>
      <c r="J62" s="10"/>
      <c r="K62" s="10"/>
      <c r="L62" s="10"/>
      <c r="M62" s="17"/>
      <c r="N62" s="11"/>
      <c r="O62" s="20"/>
      <c r="P62" s="329"/>
      <c r="Q62" s="326"/>
      <c r="R62" s="114"/>
      <c r="S62" s="314"/>
      <c r="T62" s="312"/>
      <c r="U62" s="312"/>
      <c r="V62" s="314"/>
      <c r="W62" s="313"/>
      <c r="X62" s="314"/>
      <c r="Y62" s="314"/>
    </row>
    <row r="63" spans="1:27" ht="15" x14ac:dyDescent="0.2">
      <c r="A63" s="20"/>
      <c r="B63" s="12"/>
      <c r="C63" s="115">
        <f>IF(D39="Poolish + autolysis",C58+2,10)</f>
        <v>10</v>
      </c>
      <c r="D63" s="10" t="str">
        <f>HLOOKUP($E$37,$P$44:$Q$72,20,FALSE)</f>
        <v>Virk dejen op til glat overflade.</v>
      </c>
      <c r="E63" s="10"/>
      <c r="F63" s="10"/>
      <c r="G63" s="10"/>
      <c r="H63" s="10"/>
      <c r="I63" s="10"/>
      <c r="J63" s="10"/>
      <c r="K63" s="10"/>
      <c r="L63" s="10"/>
      <c r="M63" s="17"/>
      <c r="N63" s="11"/>
      <c r="O63" s="20"/>
      <c r="P63" s="327" t="str">
        <f>HLOOKUP($D$39,$T$43:$V$72,21,FALSE)</f>
        <v>Dejen virkes nu op indtil overfladen virker jævn (fold dejen ind under sig selv).</v>
      </c>
      <c r="Q63" s="328" t="str">
        <f>HLOOKUP($D$39,$W$43:$Y$72,21,FALSE)</f>
        <v>Virk dejen op til glat overflade.</v>
      </c>
      <c r="R63" s="207"/>
      <c r="S63" s="222"/>
      <c r="T63" s="221" t="s">
        <v>283</v>
      </c>
      <c r="U63" s="221" t="s">
        <v>284</v>
      </c>
      <c r="V63" s="222" t="s">
        <v>321</v>
      </c>
      <c r="W63" s="249" t="s">
        <v>218</v>
      </c>
      <c r="X63" s="222" t="s">
        <v>218</v>
      </c>
      <c r="Y63" s="222" t="s">
        <v>324</v>
      </c>
    </row>
    <row r="64" spans="1:27" ht="15" x14ac:dyDescent="0.2">
      <c r="A64" s="20"/>
      <c r="B64" s="12"/>
      <c r="C64" s="115">
        <f>IF(D39="Poolish + autolysis",C58+3,11)</f>
        <v>11</v>
      </c>
      <c r="D64" s="10" t="str">
        <f>HLOOKUP($E$37,$P$44:$Q$72,21,FALSE)</f>
        <v>Læg dejen i en skål og lad dejen hæve 30 min. ved stuetemperatur.</v>
      </c>
      <c r="E64" s="10"/>
      <c r="F64" s="10"/>
      <c r="G64" s="10"/>
      <c r="H64" s="10"/>
      <c r="I64" s="10"/>
      <c r="J64" s="10"/>
      <c r="K64" s="10"/>
      <c r="L64" s="10"/>
      <c r="M64" s="17"/>
      <c r="N64" s="11"/>
      <c r="O64" s="20"/>
      <c r="P64" s="327" t="str">
        <f>HLOOKUP($D$39,$T$43:$V$72,22,FALSE)</f>
        <v>Smør en skål med olivenolie (for at dejen ikke klistrer fast) og placer dejen heri (stadig med oversiden op).</v>
      </c>
      <c r="Q64" s="328" t="str">
        <f>HLOOKUP($D$39,$W$43:$Y$72,22,FALSE)</f>
        <v>Læg dejen i en skål og lad dejen hæve 30 min. ved stuetemperatur.</v>
      </c>
      <c r="R64" s="207"/>
      <c r="S64" s="222"/>
      <c r="T64" s="221" t="s">
        <v>26</v>
      </c>
      <c r="U64" s="221" t="s">
        <v>26</v>
      </c>
      <c r="V64" s="222" t="s">
        <v>288</v>
      </c>
      <c r="W64" s="249" t="s">
        <v>275</v>
      </c>
      <c r="X64" s="222" t="s">
        <v>274</v>
      </c>
      <c r="Y64" s="222" t="s">
        <v>288</v>
      </c>
    </row>
    <row r="65" spans="1:25" ht="15" x14ac:dyDescent="0.2">
      <c r="A65" s="20"/>
      <c r="B65" s="12"/>
      <c r="C65" s="27"/>
      <c r="D65" s="311" t="str">
        <f>HLOOKUP($E$37,$P$44:$Q$72,22,FALSE)</f>
        <v xml:space="preserve"> </v>
      </c>
      <c r="E65" s="10"/>
      <c r="F65" s="10"/>
      <c r="G65" s="10"/>
      <c r="H65" s="10"/>
      <c r="I65" s="10"/>
      <c r="J65" s="10"/>
      <c r="K65" s="10"/>
      <c r="L65" s="317"/>
      <c r="M65" s="317"/>
      <c r="N65" s="11"/>
      <c r="O65" s="20"/>
      <c r="P65" s="327" t="str">
        <f>HLOOKUP($D$39,$T$43:$V$72,23,FALSE)</f>
        <v>Luk tæt med låg eller film og lad dejen hæve 30 min. ved stuetemperatur.</v>
      </c>
      <c r="Q65" s="328" t="str">
        <f>HLOOKUP($D$39,$W$43:$Y$72,23,FALSE)</f>
        <v xml:space="preserve"> </v>
      </c>
      <c r="R65" s="207"/>
      <c r="S65" s="222"/>
      <c r="T65" s="224" t="s">
        <v>273</v>
      </c>
      <c r="U65" s="221" t="s">
        <v>272</v>
      </c>
      <c r="V65" s="222" t="s">
        <v>220</v>
      </c>
      <c r="W65" s="249" t="s">
        <v>220</v>
      </c>
      <c r="X65" s="222" t="s">
        <v>220</v>
      </c>
      <c r="Y65" s="222" t="s">
        <v>220</v>
      </c>
    </row>
    <row r="66" spans="1:25" ht="6" hidden="1" customHeight="1" x14ac:dyDescent="0.2">
      <c r="A66" s="20"/>
      <c r="B66" s="12"/>
      <c r="C66" s="27"/>
      <c r="D66" s="10"/>
      <c r="E66" s="10"/>
      <c r="F66" s="10"/>
      <c r="G66" s="10"/>
      <c r="H66" s="10"/>
      <c r="I66" s="10"/>
      <c r="J66" s="10"/>
      <c r="K66" s="10"/>
      <c r="L66" s="317"/>
      <c r="M66" s="317"/>
      <c r="N66" s="11"/>
      <c r="O66" s="20"/>
      <c r="P66" s="329"/>
      <c r="Q66" s="326"/>
      <c r="R66" s="114"/>
      <c r="S66" s="314"/>
      <c r="T66" s="312"/>
      <c r="U66" s="312"/>
      <c r="V66" s="314"/>
      <c r="W66" s="313"/>
      <c r="X66" s="314"/>
      <c r="Y66" s="314"/>
    </row>
    <row r="67" spans="1:25" ht="15" x14ac:dyDescent="0.2">
      <c r="A67" s="20"/>
      <c r="B67" s="12"/>
      <c r="C67" s="115">
        <f>IF(D39="Poolish + autolysis",C58+4,12)</f>
        <v>12</v>
      </c>
      <c r="D67" s="10" t="str">
        <f>HLOOKUP($E$37,$P$44:$Q$72,24,FALSE)</f>
        <v>Vend dejen ud på bordet.</v>
      </c>
      <c r="E67" s="10"/>
      <c r="F67" s="10"/>
      <c r="G67" s="10"/>
      <c r="H67" s="10"/>
      <c r="I67" s="10"/>
      <c r="J67" s="10"/>
      <c r="K67" s="10"/>
      <c r="L67" s="317"/>
      <c r="M67" s="317"/>
      <c r="N67" s="11"/>
      <c r="O67" s="20"/>
      <c r="P67" s="327" t="str">
        <f>HLOOKUP($D$39,$T$43:$V$72,25,FALSE)</f>
        <v>Tag dejen ud og lad den stå i 20 min ved stuetepmeratur.</v>
      </c>
      <c r="Q67" s="328" t="str">
        <f>HLOOKUP($D$39,$W$43:$Y$72,25,FALSE)</f>
        <v>Vend dejen ud på bordet.</v>
      </c>
      <c r="R67" s="207"/>
      <c r="S67" s="222"/>
      <c r="T67" s="221" t="s">
        <v>276</v>
      </c>
      <c r="U67" s="221" t="s">
        <v>329</v>
      </c>
      <c r="V67" s="222" t="s">
        <v>326</v>
      </c>
      <c r="W67" s="249" t="s">
        <v>221</v>
      </c>
      <c r="X67" s="222" t="s">
        <v>329</v>
      </c>
      <c r="Y67" s="222" t="s">
        <v>221</v>
      </c>
    </row>
    <row r="68" spans="1:25" ht="15" x14ac:dyDescent="0.2">
      <c r="A68" s="20"/>
      <c r="B68" s="12"/>
      <c r="C68" s="115">
        <f>IF(D39="Poolish + autolysis",C58+5,13)</f>
        <v>13</v>
      </c>
      <c r="D68" s="10" t="str">
        <f>HLOOKUP($E$37,$P$44:$Q$72,25,FALSE)</f>
        <v>Del dejen i 6 klumper af ca. 260 g.</v>
      </c>
      <c r="E68" s="10"/>
      <c r="F68" s="10"/>
      <c r="G68" s="10"/>
      <c r="H68" s="10"/>
      <c r="I68" s="10"/>
      <c r="J68" s="10"/>
      <c r="K68" s="10"/>
      <c r="L68" s="10"/>
      <c r="M68" s="17"/>
      <c r="N68" s="11"/>
      <c r="O68" s="20"/>
      <c r="P68" s="327" t="str">
        <f>HLOOKUP($D$39,$T$43:$V$72,26,FALSE)</f>
        <v>Del dejen i 6 klumper af ca. 260 g. Tag evt. lidt olie på hænderne for at lette håndteringen.</v>
      </c>
      <c r="Q68" s="328" t="str">
        <f>HLOOKUP($D$39,$W$43:$Y$72,26,FALSE)</f>
        <v>Del dejen i 6 klumper af ca. 260 g.</v>
      </c>
      <c r="R68" s="207"/>
      <c r="S68" s="222"/>
      <c r="T68" s="221" t="str">
        <f>"Del dejen i "&amp;$E$32&amp;" klumper af ca. "&amp;$E$33&amp;" g. Tag evt. lidt olie på hænderne for at lette håndteringen."</f>
        <v>Del dejen i 6 klumper af ca. 260 g. Tag evt. lidt olie på hænderne for at lette håndteringen.</v>
      </c>
      <c r="U68" s="221" t="str">
        <f>"Del dejen i "&amp;$E$32&amp;" klumper af ca. "&amp;$E$33&amp;" g. Tag evt. lidt olie på hænderne for at lette håndteringen."</f>
        <v>Del dejen i 6 klumper af ca. 260 g. Tag evt. lidt olie på hænderne for at lette håndteringen.</v>
      </c>
      <c r="V68" s="222" t="str">
        <f>"Del dejen i "&amp;$E$32&amp;" klumper af ca. "&amp;$E$33&amp;" g."</f>
        <v>Del dejen i 6 klumper af ca. 260 g.</v>
      </c>
      <c r="W68" s="249" t="str">
        <f>"Del dejen i "&amp;$E$32&amp;" klumper af ca. "&amp;$E$33&amp;" g."</f>
        <v>Del dejen i 6 klumper af ca. 260 g.</v>
      </c>
      <c r="X68" s="222" t="str">
        <f>"Del dejen i "&amp;$E$32&amp;" klumper af ca. "&amp;$E$33&amp;" g."</f>
        <v>Del dejen i 6 klumper af ca. 260 g.</v>
      </c>
      <c r="Y68" s="222" t="str">
        <f>"Del dejen i "&amp;$E$32&amp;" klumper af ca. "&amp;$E$33&amp;" g."</f>
        <v>Del dejen i 6 klumper af ca. 260 g.</v>
      </c>
    </row>
    <row r="69" spans="1:25" ht="15" x14ac:dyDescent="0.2">
      <c r="A69" s="20"/>
      <c r="B69" s="12"/>
      <c r="C69" s="115">
        <f>IF(D39="Poolish + autolysis",C58+6,14)</f>
        <v>14</v>
      </c>
      <c r="D69" s="10" t="str">
        <f>HLOOKUP($E$37,$P$44:$Q$72,26,FALSE)</f>
        <v>Stram dejkuglerne op og lad dem hæve 2 timer ved stuetemperatur.</v>
      </c>
      <c r="E69" s="10"/>
      <c r="F69" s="10"/>
      <c r="G69" s="10"/>
      <c r="H69" s="10"/>
      <c r="I69" s="10"/>
      <c r="J69" s="10"/>
      <c r="K69" s="10"/>
      <c r="L69" s="10"/>
      <c r="M69" s="17"/>
      <c r="N69" s="11"/>
      <c r="O69" s="20"/>
      <c r="P69" s="327" t="str">
        <f>HLOOKUP($D$39,$T$43:$V$72,27,FALSE)</f>
        <v>Dejklumperne skal nu strammes op til kugler ved at folde oversiden ind i bunden af dejen.</v>
      </c>
      <c r="Q69" s="328" t="str">
        <f>HLOOKUP($D$39,$W$43:$Y$72,27,FALSE)</f>
        <v>Stram dejkuglerne op og lad dem hæve 2 timer ved stuetemperatur.</v>
      </c>
      <c r="R69" s="207"/>
      <c r="S69" s="222"/>
      <c r="T69" s="221" t="s">
        <v>29</v>
      </c>
      <c r="U69" s="221" t="s">
        <v>29</v>
      </c>
      <c r="V69" s="222" t="s">
        <v>325</v>
      </c>
      <c r="W69" s="249" t="s">
        <v>223</v>
      </c>
      <c r="X69" s="222" t="s">
        <v>223</v>
      </c>
      <c r="Y69" s="222" t="s">
        <v>289</v>
      </c>
    </row>
    <row r="70" spans="1:25" ht="15" x14ac:dyDescent="0.2">
      <c r="A70" s="20"/>
      <c r="B70" s="12"/>
      <c r="C70" s="27"/>
      <c r="D70" s="10" t="str">
        <f>HLOOKUP($E$37,$P$44:$Q$72,27,FALSE)</f>
        <v xml:space="preserve"> </v>
      </c>
      <c r="E70" s="10"/>
      <c r="F70" s="10"/>
      <c r="G70" s="10"/>
      <c r="H70" s="10"/>
      <c r="I70" s="10"/>
      <c r="J70" s="10"/>
      <c r="K70" s="10"/>
      <c r="L70" s="10"/>
      <c r="M70" s="17"/>
      <c r="N70" s="11"/>
      <c r="O70" s="20"/>
      <c r="P70" s="327" t="str">
        <f>HLOOKUP($D$39,$T$43:$V$72,28,FALSE)</f>
        <v>Gentag indtil overfladen virker jævn. Husk at få "lukket" i bunden af dejen.</v>
      </c>
      <c r="Q70" s="328" t="str">
        <f>HLOOKUP($D$39,$W$43:$Y$72,28,FALSE)</f>
        <v xml:space="preserve"> </v>
      </c>
      <c r="R70" s="207"/>
      <c r="S70" s="222"/>
      <c r="T70" s="221" t="s">
        <v>27</v>
      </c>
      <c r="U70" s="221" t="s">
        <v>27</v>
      </c>
      <c r="V70" s="222" t="s">
        <v>327</v>
      </c>
      <c r="W70" s="249" t="s">
        <v>220</v>
      </c>
      <c r="X70" s="222" t="s">
        <v>220</v>
      </c>
      <c r="Y70" s="222" t="s">
        <v>291</v>
      </c>
    </row>
    <row r="71" spans="1:25" ht="15" x14ac:dyDescent="0.2">
      <c r="A71" s="20"/>
      <c r="B71" s="12"/>
      <c r="C71" s="115">
        <f>IF(D71=" ","",15)</f>
        <v>15</v>
      </c>
      <c r="D71" s="311" t="str">
        <f>HLOOKUP($E$37,$P$44:$Q$72,28,FALSE)</f>
        <v>Voila!</v>
      </c>
      <c r="E71" s="10"/>
      <c r="F71" s="10"/>
      <c r="G71" s="10"/>
      <c r="H71" s="10"/>
      <c r="I71" s="10"/>
      <c r="J71" s="10"/>
      <c r="K71" s="10"/>
      <c r="L71" s="10"/>
      <c r="M71" s="17"/>
      <c r="N71" s="11"/>
      <c r="O71" s="20"/>
      <c r="P71" s="327" t="str">
        <f>HLOOKUP($D$39,$T$43:$V$72,29,FALSE)</f>
        <v>Klap dejkuglerne med olie på hænderne og placer dem i en hævekasse eller bradepande.</v>
      </c>
      <c r="Q71" s="328" t="str">
        <f>HLOOKUP($D$39,$W$43:$Y$72,29,FALSE)</f>
        <v>Voila!</v>
      </c>
      <c r="R71" s="207"/>
      <c r="S71" s="222"/>
      <c r="T71" s="221" t="s">
        <v>28</v>
      </c>
      <c r="U71" s="221" t="s">
        <v>28</v>
      </c>
      <c r="V71" s="221" t="s">
        <v>220</v>
      </c>
      <c r="W71" s="249" t="s">
        <v>219</v>
      </c>
      <c r="X71" s="222" t="s">
        <v>219</v>
      </c>
      <c r="Y71" s="222" t="s">
        <v>220</v>
      </c>
    </row>
    <row r="72" spans="1:25" ht="15" x14ac:dyDescent="0.2">
      <c r="A72" s="20"/>
      <c r="B72" s="12"/>
      <c r="C72" s="10"/>
      <c r="D72" s="311" t="str">
        <f>HLOOKUP($E$37,$P$44:$Q$72,29,FALSE)</f>
        <v xml:space="preserve"> </v>
      </c>
      <c r="E72" s="10"/>
      <c r="F72" s="10"/>
      <c r="G72" s="10"/>
      <c r="H72" s="10"/>
      <c r="I72" s="10"/>
      <c r="J72" s="10"/>
      <c r="K72" s="10"/>
      <c r="L72" s="10"/>
      <c r="M72" s="17"/>
      <c r="N72" s="11"/>
      <c r="O72" s="20"/>
      <c r="P72" s="330" t="str">
        <f>HLOOKUP($D$39,$T$43:$V$72,30,FALSE)</f>
        <v>Dæk dem med låg eller folie og lad dem hæve 2 timer ved stuetemperatur, hvorefter de er klar til brug</v>
      </c>
      <c r="Q72" s="331" t="str">
        <f>HLOOKUP($D$39,$W$43:$Y$72,30,FALSE)</f>
        <v xml:space="preserve"> </v>
      </c>
      <c r="R72" s="332"/>
      <c r="S72" s="226"/>
      <c r="T72" s="225" t="s">
        <v>212</v>
      </c>
      <c r="U72" s="225" t="s">
        <v>212</v>
      </c>
      <c r="V72" s="228" t="s">
        <v>220</v>
      </c>
      <c r="W72" s="248" t="s">
        <v>220</v>
      </c>
      <c r="X72" s="226" t="s">
        <v>220</v>
      </c>
      <c r="Y72" s="226" t="s">
        <v>220</v>
      </c>
    </row>
    <row r="73" spans="1:25" ht="7.5" customHeight="1" x14ac:dyDescent="0.2">
      <c r="A73" s="20"/>
      <c r="B73" s="12"/>
      <c r="C73" s="10"/>
      <c r="D73" s="10"/>
      <c r="E73" s="10"/>
      <c r="F73" s="10"/>
      <c r="G73" s="10"/>
      <c r="H73" s="10"/>
      <c r="I73" s="10"/>
      <c r="J73" s="10"/>
      <c r="K73" s="10"/>
      <c r="L73" s="10"/>
      <c r="M73" s="17"/>
      <c r="N73" s="11"/>
      <c r="O73" s="20"/>
      <c r="P73" s="304"/>
      <c r="Q73" s="304"/>
      <c r="T73" s="208"/>
    </row>
    <row r="74" spans="1:25" ht="15" x14ac:dyDescent="0.2">
      <c r="A74" s="20"/>
      <c r="B74" s="12"/>
      <c r="C74" s="10"/>
      <c r="D74" s="10" t="s">
        <v>312</v>
      </c>
      <c r="E74" s="10"/>
      <c r="F74" s="10"/>
      <c r="G74" s="10"/>
      <c r="H74" s="10"/>
      <c r="I74" s="10"/>
      <c r="J74" s="10"/>
      <c r="K74" s="10"/>
      <c r="L74" s="10"/>
      <c r="M74" s="17"/>
      <c r="N74" s="11"/>
      <c r="O74" s="20"/>
    </row>
    <row r="75" spans="1:25" ht="7.5" customHeight="1" x14ac:dyDescent="0.2">
      <c r="A75" s="20"/>
      <c r="B75" s="3"/>
      <c r="C75" s="4"/>
      <c r="D75" s="4"/>
      <c r="E75" s="4"/>
      <c r="F75" s="4"/>
      <c r="G75" s="4"/>
      <c r="H75" s="4"/>
      <c r="I75" s="4"/>
      <c r="J75" s="4"/>
      <c r="K75" s="4"/>
      <c r="L75" s="4"/>
      <c r="M75" s="8"/>
      <c r="N75" s="9"/>
      <c r="O75" s="20"/>
    </row>
    <row r="76" spans="1:25" ht="15" hidden="1" x14ac:dyDescent="0.2">
      <c r="A76" s="20"/>
      <c r="B76" s="20"/>
      <c r="C76" s="20"/>
      <c r="D76" s="20"/>
      <c r="E76" s="20"/>
      <c r="F76" s="20"/>
      <c r="G76" s="20"/>
      <c r="H76" s="20"/>
      <c r="I76" s="20"/>
      <c r="J76" s="20"/>
      <c r="K76" s="20"/>
      <c r="L76" s="20"/>
      <c r="M76" s="21"/>
      <c r="N76" s="20"/>
      <c r="O76" s="20"/>
    </row>
  </sheetData>
  <sheetProtection sheet="1" objects="1" scenarios="1" selectLockedCells="1"/>
  <mergeCells count="22">
    <mergeCell ref="C9:H10"/>
    <mergeCell ref="G11:H11"/>
    <mergeCell ref="K11:L11"/>
    <mergeCell ref="C42:D43"/>
    <mergeCell ref="L27:L28"/>
    <mergeCell ref="D27:D28"/>
    <mergeCell ref="D39:E39"/>
    <mergeCell ref="G37:M38"/>
    <mergeCell ref="H27:I28"/>
    <mergeCell ref="E19:E20"/>
    <mergeCell ref="E21:E22"/>
    <mergeCell ref="E23:E24"/>
    <mergeCell ref="E25:E26"/>
    <mergeCell ref="E27:E28"/>
    <mergeCell ref="D19:D20"/>
    <mergeCell ref="D21:D22"/>
    <mergeCell ref="D23:D24"/>
    <mergeCell ref="D25:D26"/>
    <mergeCell ref="H19:I20"/>
    <mergeCell ref="H21:I22"/>
    <mergeCell ref="H23:I24"/>
    <mergeCell ref="H25:I26"/>
  </mergeCells>
  <conditionalFormatting sqref="E33">
    <cfRule type="expression" dxfId="4" priority="11">
      <formula>$E$35&lt;&gt;0.645</formula>
    </cfRule>
  </conditionalFormatting>
  <conditionalFormatting sqref="L19:M28">
    <cfRule type="expression" dxfId="3" priority="5">
      <formula>$D$39="Poolish + autolysis"</formula>
    </cfRule>
  </conditionalFormatting>
  <conditionalFormatting sqref="D19:E28">
    <cfRule type="expression" dxfId="2" priority="3">
      <formula>$D$39="Poolish"</formula>
    </cfRule>
  </conditionalFormatting>
  <conditionalFormatting sqref="D19:D26">
    <cfRule type="expression" dxfId="1" priority="2">
      <formula>$D$39="Poolish"</formula>
    </cfRule>
  </conditionalFormatting>
  <conditionalFormatting sqref="H19:I28">
    <cfRule type="expression" dxfId="0" priority="1">
      <formula>$D$39="Poolish double fermented"</formula>
    </cfRule>
  </conditionalFormatting>
  <dataValidations count="2">
    <dataValidation type="list" allowBlank="1" showInputMessage="1" showErrorMessage="1" sqref="E37" xr:uid="{5347226E-90AF-4D6B-9029-12CE76CDD83B}">
      <formula1>"Simpel,Udførlig"</formula1>
    </dataValidation>
    <dataValidation type="list" allowBlank="1" showInputMessage="1" showErrorMessage="1" sqref="D39:D40" xr:uid="{BD6E5E2A-E652-44AD-87AC-A73077418F29}">
      <formula1>"Poolish,Poolish double fermented,Poolish + autolysis"</formula1>
    </dataValidation>
  </dataValidations>
  <pageMargins left="0.23622047244094491" right="0.23622047244094491" top="0.74803149606299213" bottom="0.74803149606299213" header="0.31496062992125984" footer="0.31496062992125984"/>
  <pageSetup paperSize="9"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A9D8A-66FF-42C3-80A9-1A12CA0FCCA9}">
  <sheetPr codeName="Ark2">
    <tabColor rgb="FFFFFFCC"/>
    <pageSetUpPr fitToPage="1"/>
  </sheetPr>
  <dimension ref="A1:O74"/>
  <sheetViews>
    <sheetView showRowColHeaders="0" zoomScale="104" zoomScaleNormal="100" workbookViewId="0">
      <selection activeCell="I13" sqref="I13"/>
    </sheetView>
  </sheetViews>
  <sheetFormatPr baseColWidth="10" defaultColWidth="0" defaultRowHeight="15" zeroHeight="1" x14ac:dyDescent="0.2"/>
  <cols>
    <col min="1" max="1" width="3.1640625" customWidth="1"/>
    <col min="2" max="2" width="7.6640625" customWidth="1"/>
    <col min="3" max="3" width="6.5" customWidth="1"/>
    <col min="4" max="4" width="14.83203125" customWidth="1"/>
    <col min="5" max="5" width="8.6640625" customWidth="1"/>
    <col min="6" max="6" width="6.83203125" customWidth="1"/>
    <col min="7" max="7" width="3.1640625" customWidth="1"/>
    <col min="8" max="8" width="16.1640625" customWidth="1"/>
    <col min="9" max="9" width="8.6640625" customWidth="1"/>
    <col min="10" max="10" width="3.1640625" customWidth="1"/>
    <col min="11" max="11" width="7.1640625" customWidth="1"/>
    <col min="12" max="13" width="8.6640625" customWidth="1"/>
    <col min="14" max="14" width="12" customWidth="1"/>
    <col min="15" max="15" width="3.1640625" customWidth="1"/>
    <col min="16" max="16384" width="8.6640625" hidden="1"/>
  </cols>
  <sheetData>
    <row r="1" spans="1:15" x14ac:dyDescent="0.2">
      <c r="M1" s="67"/>
      <c r="N1" s="67"/>
      <c r="O1" s="67"/>
    </row>
    <row r="2" spans="1:15" x14ac:dyDescent="0.2">
      <c r="M2" s="67"/>
      <c r="N2" s="67"/>
      <c r="O2" s="67"/>
    </row>
    <row r="3" spans="1:15" x14ac:dyDescent="0.2">
      <c r="M3" s="67"/>
      <c r="N3" s="67"/>
      <c r="O3" s="67"/>
    </row>
    <row r="4" spans="1:15" x14ac:dyDescent="0.2">
      <c r="M4" s="67"/>
      <c r="N4" s="67"/>
      <c r="O4" s="67"/>
    </row>
    <row r="5" spans="1:15" x14ac:dyDescent="0.2">
      <c r="M5" s="67"/>
      <c r="N5" s="67"/>
      <c r="O5" s="67"/>
    </row>
    <row r="6" spans="1:15" x14ac:dyDescent="0.2">
      <c r="M6" s="67"/>
      <c r="N6" s="67"/>
      <c r="O6" s="67"/>
    </row>
    <row r="7" spans="1:15" x14ac:dyDescent="0.2">
      <c r="M7" s="67"/>
      <c r="N7" s="67"/>
      <c r="O7" s="67"/>
    </row>
    <row r="8" spans="1:15" ht="17" customHeight="1" x14ac:dyDescent="0.2">
      <c r="A8" s="67"/>
      <c r="B8" s="476" t="s">
        <v>386</v>
      </c>
      <c r="C8" s="476"/>
      <c r="D8" s="476"/>
      <c r="E8" s="476"/>
      <c r="F8" s="476"/>
      <c r="G8" s="476"/>
      <c r="H8" s="476"/>
      <c r="I8" s="67"/>
      <c r="J8" s="67"/>
      <c r="K8" s="67"/>
      <c r="L8" s="67"/>
      <c r="M8" s="67"/>
      <c r="N8" s="67"/>
      <c r="O8" s="67"/>
    </row>
    <row r="9" spans="1:15" ht="17" customHeight="1" x14ac:dyDescent="0.2">
      <c r="A9" s="67"/>
      <c r="B9" s="476"/>
      <c r="C9" s="476"/>
      <c r="D9" s="476"/>
      <c r="E9" s="476"/>
      <c r="F9" s="476"/>
      <c r="G9" s="476"/>
      <c r="H9" s="476"/>
      <c r="I9" s="67"/>
      <c r="J9" s="67"/>
      <c r="K9" s="211"/>
      <c r="L9" s="67"/>
      <c r="M9" s="67"/>
      <c r="N9" s="67"/>
      <c r="O9" s="67"/>
    </row>
    <row r="10" spans="1:15" ht="16" x14ac:dyDescent="0.2">
      <c r="A10" s="67"/>
      <c r="B10" s="376" t="s">
        <v>387</v>
      </c>
      <c r="C10" s="376"/>
      <c r="D10" s="376"/>
      <c r="E10" s="376"/>
      <c r="F10" s="475"/>
      <c r="G10" s="475"/>
      <c r="H10" s="475"/>
      <c r="I10" s="67"/>
      <c r="J10" s="67"/>
      <c r="K10" s="67"/>
      <c r="L10" s="67"/>
      <c r="M10" s="67"/>
      <c r="N10" s="67"/>
      <c r="O10" s="67"/>
    </row>
    <row r="11" spans="1:15" x14ac:dyDescent="0.2">
      <c r="A11" s="10"/>
      <c r="C11" s="10"/>
      <c r="D11" s="4"/>
      <c r="E11" s="10"/>
      <c r="F11" s="10"/>
      <c r="G11" s="67"/>
      <c r="H11" s="67"/>
      <c r="I11" s="67"/>
      <c r="J11" s="67"/>
      <c r="K11" s="67"/>
      <c r="L11" s="67"/>
      <c r="M11" s="67"/>
      <c r="N11" s="67"/>
      <c r="O11" s="67"/>
    </row>
    <row r="12" spans="1:15" x14ac:dyDescent="0.2">
      <c r="A12" s="10"/>
      <c r="B12" s="65" t="s">
        <v>33</v>
      </c>
      <c r="C12" s="66"/>
      <c r="D12" s="69" t="str">
        <f>"Total dej "&amp;SUM(B13:B16)&amp;" g"</f>
        <v>Total dej 1656 g</v>
      </c>
      <c r="E12" s="66"/>
      <c r="F12" s="70" t="str">
        <f>"Hydration "&amp;(B14/B13)*100&amp;"%"</f>
        <v>Hydration 63%</v>
      </c>
      <c r="G12" s="67"/>
      <c r="H12" s="71" t="s">
        <v>31</v>
      </c>
      <c r="I12" s="72"/>
      <c r="J12" s="67"/>
      <c r="K12" s="71" t="s">
        <v>36</v>
      </c>
      <c r="L12" s="73"/>
      <c r="M12" s="73"/>
      <c r="N12" s="72"/>
      <c r="O12" s="67"/>
    </row>
    <row r="13" spans="1:15" x14ac:dyDescent="0.2">
      <c r="A13" s="10"/>
      <c r="B13" s="74">
        <v>1000</v>
      </c>
      <c r="C13" s="10" t="s">
        <v>232</v>
      </c>
      <c r="D13" s="67"/>
      <c r="E13" s="10"/>
      <c r="F13" s="68">
        <v>1</v>
      </c>
      <c r="G13" s="67"/>
      <c r="H13" s="24" t="s">
        <v>8</v>
      </c>
      <c r="I13" s="119">
        <v>6</v>
      </c>
      <c r="J13" s="67"/>
      <c r="K13" s="167">
        <f>B13*((I13*I14)/(SUM(B13:B16)))</f>
        <v>978.26086956521738</v>
      </c>
      <c r="L13" s="10" t="s">
        <v>43</v>
      </c>
      <c r="M13" s="10"/>
      <c r="N13" s="11"/>
      <c r="O13" s="67"/>
    </row>
    <row r="14" spans="1:15" x14ac:dyDescent="0.2">
      <c r="A14" s="10"/>
      <c r="B14" s="12">
        <f>B13*F14</f>
        <v>630</v>
      </c>
      <c r="C14" s="10" t="s">
        <v>250</v>
      </c>
      <c r="D14" s="10"/>
      <c r="E14" s="178"/>
      <c r="F14" s="75">
        <v>0.63</v>
      </c>
      <c r="G14" s="67"/>
      <c r="H14" s="24" t="s">
        <v>9</v>
      </c>
      <c r="I14" s="100">
        <v>270</v>
      </c>
      <c r="J14" s="67"/>
      <c r="K14" s="161">
        <f>B14*((I13*I14)/(SUM(B13:B16)))</f>
        <v>616.304347826087</v>
      </c>
      <c r="L14" s="10" t="s">
        <v>253</v>
      </c>
      <c r="M14" s="10"/>
      <c r="N14" s="11"/>
      <c r="O14" s="67"/>
    </row>
    <row r="15" spans="1:15" x14ac:dyDescent="0.2">
      <c r="A15" s="10"/>
      <c r="B15" s="12">
        <f>B13*F15</f>
        <v>25</v>
      </c>
      <c r="C15" s="10" t="s">
        <v>34</v>
      </c>
      <c r="D15" s="10"/>
      <c r="E15" s="10"/>
      <c r="F15" s="76">
        <v>2.5000000000000001E-2</v>
      </c>
      <c r="G15" s="67"/>
      <c r="H15" s="473" t="s">
        <v>35</v>
      </c>
      <c r="I15" s="471" t="str">
        <f>ROUND(I13*I14,0)&amp;" g"</f>
        <v>1620 g</v>
      </c>
      <c r="J15" s="67"/>
      <c r="K15" s="161">
        <f>B15*((I13*I14)/(SUM(B13:B16)))</f>
        <v>24.456521739130434</v>
      </c>
      <c r="L15" s="10" t="s">
        <v>42</v>
      </c>
      <c r="M15" s="10"/>
      <c r="N15" s="11"/>
      <c r="O15" s="67"/>
    </row>
    <row r="16" spans="1:15" x14ac:dyDescent="0.2">
      <c r="A16" s="10"/>
      <c r="B16" s="138">
        <f>B13*F16</f>
        <v>1</v>
      </c>
      <c r="C16" s="4" t="s">
        <v>208</v>
      </c>
      <c r="D16" s="4"/>
      <c r="E16" s="4"/>
      <c r="F16" s="139">
        <v>1E-3</v>
      </c>
      <c r="G16" s="67"/>
      <c r="H16" s="474"/>
      <c r="I16" s="472"/>
      <c r="J16" s="67"/>
      <c r="K16" s="180">
        <f>B16*((I13*I14)/(SUM(B13:B16)))</f>
        <v>0.97826086956521741</v>
      </c>
      <c r="L16" s="4" t="s">
        <v>208</v>
      </c>
      <c r="M16" s="4"/>
      <c r="N16" s="9"/>
      <c r="O16" s="67"/>
    </row>
    <row r="17" spans="1:15" x14ac:dyDescent="0.2">
      <c r="A17" s="10"/>
      <c r="B17" s="10"/>
      <c r="C17" s="10"/>
      <c r="D17" s="10"/>
      <c r="E17" s="10"/>
      <c r="F17" s="10"/>
      <c r="G17" s="67"/>
      <c r="H17" s="67"/>
      <c r="I17" s="67"/>
      <c r="J17" s="67"/>
      <c r="K17" s="179"/>
      <c r="L17" s="67"/>
      <c r="M17" s="67"/>
      <c r="N17" s="67"/>
      <c r="O17" s="67"/>
    </row>
    <row r="18" spans="1:15" x14ac:dyDescent="0.2">
      <c r="A18" s="10"/>
      <c r="B18" s="461" t="s">
        <v>11</v>
      </c>
      <c r="C18" s="461"/>
      <c r="D18" s="10"/>
      <c r="E18" s="10"/>
      <c r="F18" s="10"/>
      <c r="G18" s="10"/>
      <c r="H18" s="10"/>
      <c r="I18" s="10"/>
      <c r="J18" s="10"/>
      <c r="K18" s="189"/>
      <c r="L18" s="10"/>
      <c r="M18" s="10"/>
      <c r="N18" s="10"/>
      <c r="O18" s="67"/>
    </row>
    <row r="19" spans="1:15" x14ac:dyDescent="0.2">
      <c r="A19" s="10"/>
      <c r="B19" s="461"/>
      <c r="C19" s="461"/>
      <c r="D19" s="10"/>
      <c r="E19" s="10"/>
      <c r="F19" s="10"/>
      <c r="G19" s="10"/>
      <c r="H19" s="10"/>
      <c r="I19" s="10"/>
      <c r="J19" s="10"/>
      <c r="K19" s="10"/>
      <c r="L19" s="10"/>
      <c r="M19" s="10"/>
      <c r="N19" s="10"/>
      <c r="O19" s="67"/>
    </row>
    <row r="20" spans="1:15" x14ac:dyDescent="0.2">
      <c r="A20" s="67"/>
      <c r="B20" s="36" t="s">
        <v>0</v>
      </c>
      <c r="C20" s="36"/>
      <c r="D20" s="4"/>
      <c r="E20" s="4"/>
      <c r="F20" s="4"/>
      <c r="G20" s="4"/>
      <c r="H20" s="4"/>
      <c r="I20" s="4"/>
      <c r="J20" s="4"/>
      <c r="K20" s="4"/>
      <c r="L20" s="4"/>
      <c r="M20" s="4"/>
      <c r="N20" s="4"/>
      <c r="O20" s="67"/>
    </row>
    <row r="21" spans="1:15" ht="7" customHeight="1" x14ac:dyDescent="0.2">
      <c r="A21" s="67"/>
      <c r="B21" s="67"/>
      <c r="C21" s="67"/>
      <c r="D21" s="67"/>
      <c r="E21" s="67"/>
      <c r="F21" s="67"/>
      <c r="G21" s="67"/>
      <c r="H21" s="67"/>
      <c r="I21" s="67"/>
      <c r="J21" s="67"/>
      <c r="K21" s="67"/>
      <c r="L21" s="67"/>
      <c r="M21" s="67"/>
      <c r="N21" s="67"/>
      <c r="O21" s="67"/>
    </row>
    <row r="22" spans="1:15" x14ac:dyDescent="0.2">
      <c r="A22" s="67"/>
      <c r="B22" s="45">
        <v>1</v>
      </c>
      <c r="C22" s="67" t="s">
        <v>263</v>
      </c>
      <c r="D22" s="67"/>
      <c r="E22" s="67"/>
      <c r="F22" s="67"/>
      <c r="G22" s="67"/>
      <c r="H22" s="67"/>
      <c r="J22" s="67"/>
      <c r="L22" s="97" t="str">
        <f>ROUND(K13,0)&amp;" g. mel, ~"&amp;ROUND(K14*0.95,0)&amp;" ml. kold vand (5°)"</f>
        <v>978 g. mel, ~585 ml. kold vand (5°)</v>
      </c>
      <c r="M22" s="98"/>
      <c r="N22" s="99"/>
      <c r="O22" s="67"/>
    </row>
    <row r="23" spans="1:15" x14ac:dyDescent="0.2">
      <c r="A23" s="67"/>
      <c r="B23" s="45">
        <v>2</v>
      </c>
      <c r="C23" s="67" t="s">
        <v>264</v>
      </c>
      <c r="D23" s="67"/>
      <c r="E23" s="67"/>
      <c r="F23" s="67"/>
      <c r="G23" s="67"/>
      <c r="H23" s="67"/>
      <c r="I23" s="67"/>
      <c r="J23" s="67"/>
      <c r="K23" s="77"/>
      <c r="L23" s="67"/>
      <c r="M23" s="67"/>
      <c r="O23" s="67"/>
    </row>
    <row r="24" spans="1:15" x14ac:dyDescent="0.2">
      <c r="A24" s="67"/>
      <c r="B24" s="45">
        <v>3</v>
      </c>
      <c r="C24" s="67" t="s">
        <v>38</v>
      </c>
      <c r="D24" s="67"/>
      <c r="E24" s="67"/>
      <c r="F24" s="67"/>
      <c r="G24" s="67"/>
      <c r="H24" s="67"/>
      <c r="I24" s="67"/>
      <c r="J24" s="67"/>
      <c r="K24" s="67"/>
      <c r="L24" s="92" t="str">
        <f>ROUND(K15,0)&amp;" g. salt, ~"&amp;ROUND(K14*0.05,0)&amp;" ml. kold vand (5°)"</f>
        <v>24 g. salt, ~31 ml. kold vand (5°)</v>
      </c>
      <c r="M24" s="93"/>
      <c r="N24" s="72"/>
      <c r="O24" s="67"/>
    </row>
    <row r="25" spans="1:15" x14ac:dyDescent="0.2">
      <c r="A25" s="67"/>
      <c r="B25" s="45">
        <v>4</v>
      </c>
      <c r="C25" s="67" t="s">
        <v>37</v>
      </c>
      <c r="D25" s="67"/>
      <c r="E25" s="67"/>
      <c r="F25" s="67"/>
      <c r="G25" s="67"/>
      <c r="H25" s="67"/>
      <c r="I25" s="67"/>
      <c r="J25" s="67"/>
      <c r="K25" s="67"/>
      <c r="L25" s="94" t="str">
        <f>ROUND(K16,2)&amp;" "&amp;L16</f>
        <v>0,98 g frisk gær</v>
      </c>
      <c r="M25" s="95"/>
      <c r="N25" s="96"/>
      <c r="O25" s="67"/>
    </row>
    <row r="26" spans="1:15" x14ac:dyDescent="0.2">
      <c r="A26" s="67"/>
      <c r="B26" s="45">
        <v>5</v>
      </c>
      <c r="C26" s="67" t="s">
        <v>209</v>
      </c>
      <c r="D26" s="67"/>
      <c r="E26" s="67"/>
      <c r="F26" s="67"/>
      <c r="G26" s="67"/>
      <c r="H26" s="67"/>
      <c r="I26" s="67"/>
      <c r="J26" s="67"/>
      <c r="K26" s="67"/>
      <c r="L26" s="67"/>
      <c r="M26" s="67"/>
      <c r="N26" s="67"/>
      <c r="O26" s="67"/>
    </row>
    <row r="27" spans="1:15" x14ac:dyDescent="0.2">
      <c r="A27" s="67"/>
      <c r="B27" s="45">
        <v>6</v>
      </c>
      <c r="C27" s="67" t="s">
        <v>39</v>
      </c>
      <c r="D27" s="67"/>
      <c r="E27" s="67"/>
      <c r="F27" s="67"/>
      <c r="G27" s="67"/>
      <c r="H27" s="67"/>
      <c r="I27" s="67"/>
      <c r="J27" s="67"/>
      <c r="K27" s="67"/>
      <c r="L27" s="67"/>
      <c r="M27" s="67"/>
      <c r="N27" s="67"/>
      <c r="O27" s="67"/>
    </row>
    <row r="28" spans="1:15" x14ac:dyDescent="0.2">
      <c r="A28" s="67"/>
      <c r="B28" s="45">
        <v>7</v>
      </c>
      <c r="C28" s="67" t="s">
        <v>209</v>
      </c>
      <c r="D28" s="67"/>
      <c r="E28" s="67"/>
      <c r="F28" s="67"/>
      <c r="G28" s="67"/>
      <c r="H28" s="67"/>
      <c r="I28" s="67"/>
      <c r="J28" s="67"/>
      <c r="K28" s="67"/>
      <c r="L28" s="67"/>
      <c r="M28" s="67"/>
      <c r="N28" s="67"/>
      <c r="O28" s="67"/>
    </row>
    <row r="29" spans="1:15" x14ac:dyDescent="0.2">
      <c r="A29" s="67"/>
      <c r="B29" s="45">
        <v>8</v>
      </c>
      <c r="C29" s="67" t="s">
        <v>205</v>
      </c>
      <c r="D29" s="67"/>
      <c r="E29" s="67"/>
      <c r="F29" s="67"/>
      <c r="G29" s="67"/>
      <c r="H29" s="67"/>
      <c r="I29" s="67"/>
      <c r="J29" s="67"/>
      <c r="K29" s="67"/>
      <c r="L29" s="67"/>
      <c r="M29" s="67"/>
      <c r="N29" s="67"/>
      <c r="O29" s="67"/>
    </row>
    <row r="30" spans="1:15" x14ac:dyDescent="0.2">
      <c r="A30" s="67"/>
      <c r="B30" s="45">
        <v>9</v>
      </c>
      <c r="C30" s="67" t="s">
        <v>204</v>
      </c>
      <c r="D30" s="67"/>
      <c r="E30" s="67"/>
      <c r="F30" s="67"/>
      <c r="G30" s="67"/>
      <c r="H30" s="67"/>
      <c r="I30" s="67"/>
      <c r="J30" s="67"/>
      <c r="K30" s="67"/>
      <c r="L30" s="67"/>
      <c r="M30" s="67"/>
      <c r="N30" s="67"/>
      <c r="O30" s="67"/>
    </row>
    <row r="31" spans="1:15" x14ac:dyDescent="0.2">
      <c r="A31" s="67"/>
      <c r="B31" s="45"/>
      <c r="C31" s="67"/>
      <c r="D31" s="67"/>
      <c r="E31" s="67"/>
      <c r="F31" s="67"/>
      <c r="G31" s="67"/>
      <c r="H31" s="67"/>
      <c r="I31" s="67"/>
      <c r="J31" s="67"/>
      <c r="K31" s="67"/>
      <c r="L31" s="67"/>
      <c r="M31" s="67"/>
      <c r="N31" s="67"/>
      <c r="O31" s="67"/>
    </row>
    <row r="32" spans="1:15" x14ac:dyDescent="0.2">
      <c r="A32" s="67"/>
      <c r="B32" s="36" t="s">
        <v>4</v>
      </c>
      <c r="C32" s="36"/>
      <c r="D32" s="4"/>
      <c r="E32" s="4"/>
      <c r="F32" s="4"/>
      <c r="G32" s="4"/>
      <c r="H32" s="4"/>
      <c r="I32" s="4"/>
      <c r="J32" s="4"/>
      <c r="K32" s="4"/>
      <c r="L32" s="4"/>
      <c r="M32" s="4"/>
      <c r="N32" s="4"/>
      <c r="O32" s="67"/>
    </row>
    <row r="33" spans="1:15" x14ac:dyDescent="0.2">
      <c r="A33" s="67"/>
      <c r="B33" s="45">
        <v>10</v>
      </c>
      <c r="C33" s="67" t="str">
        <f>"Del dejen i "&amp;I13&amp;" klumper af ca. "&amp;ROUND(I14,0)&amp;" g. med f.eks. en bagespatel."</f>
        <v>Del dejen i 6 klumper af ca. 270 g. med f.eks. en bagespatel.</v>
      </c>
      <c r="D33" s="67"/>
      <c r="E33" s="67"/>
      <c r="F33" s="67"/>
      <c r="G33" s="67"/>
      <c r="H33" s="67"/>
      <c r="I33" s="67"/>
      <c r="J33" s="67"/>
      <c r="K33" s="67"/>
      <c r="L33" s="67"/>
      <c r="M33" s="67"/>
      <c r="N33" s="67"/>
      <c r="O33" s="67"/>
    </row>
    <row r="34" spans="1:15" x14ac:dyDescent="0.2">
      <c r="A34" s="67"/>
      <c r="B34" s="45">
        <v>11</v>
      </c>
      <c r="C34" s="10" t="s">
        <v>245</v>
      </c>
      <c r="D34" s="67"/>
      <c r="E34" s="67"/>
      <c r="F34" s="67"/>
      <c r="G34" s="67"/>
      <c r="H34" s="67"/>
      <c r="I34" s="67"/>
      <c r="J34" s="67"/>
      <c r="K34" s="67"/>
      <c r="L34" s="67"/>
      <c r="M34" s="67"/>
      <c r="N34" s="67"/>
      <c r="O34" s="67"/>
    </row>
    <row r="35" spans="1:15" x14ac:dyDescent="0.2">
      <c r="A35" s="67"/>
      <c r="B35" s="10"/>
      <c r="C35" s="10" t="s">
        <v>27</v>
      </c>
      <c r="D35" s="67"/>
      <c r="E35" s="67"/>
      <c r="F35" s="67"/>
      <c r="G35" s="67"/>
      <c r="H35" s="67"/>
      <c r="I35" s="67"/>
      <c r="J35" s="67"/>
      <c r="K35" s="67"/>
      <c r="L35" s="67"/>
      <c r="M35" s="67"/>
      <c r="N35" s="67"/>
      <c r="O35" s="67"/>
    </row>
    <row r="36" spans="1:15" x14ac:dyDescent="0.2">
      <c r="A36" s="67"/>
      <c r="B36" s="45">
        <v>12</v>
      </c>
      <c r="C36" s="10" t="s">
        <v>257</v>
      </c>
      <c r="D36" s="67"/>
      <c r="E36" s="67"/>
      <c r="F36" s="67"/>
      <c r="G36" s="67"/>
      <c r="H36" s="67"/>
      <c r="I36" s="67"/>
      <c r="J36" s="67"/>
      <c r="K36" s="67"/>
      <c r="L36" s="67"/>
      <c r="M36" s="67"/>
      <c r="N36" s="67"/>
      <c r="O36" s="67"/>
    </row>
    <row r="37" spans="1:15" x14ac:dyDescent="0.2">
      <c r="A37" s="67"/>
      <c r="B37" s="45">
        <v>13</v>
      </c>
      <c r="C37" s="67" t="s">
        <v>106</v>
      </c>
      <c r="D37" s="67"/>
      <c r="E37" s="67"/>
      <c r="F37" s="67"/>
      <c r="G37" s="67"/>
      <c r="H37" s="67"/>
      <c r="I37" s="67"/>
      <c r="J37" s="67"/>
      <c r="K37" s="67"/>
      <c r="L37" s="67"/>
      <c r="M37" s="67"/>
      <c r="N37" s="67"/>
      <c r="O37" s="67"/>
    </row>
    <row r="38" spans="1:15" x14ac:dyDescent="0.2">
      <c r="A38" s="67"/>
      <c r="B38" s="67"/>
      <c r="C38" s="67"/>
      <c r="D38" s="67"/>
      <c r="E38" s="67"/>
      <c r="F38" s="67"/>
      <c r="G38" s="67"/>
      <c r="H38" s="67"/>
      <c r="I38" s="67"/>
      <c r="J38" s="67"/>
      <c r="K38" s="67"/>
      <c r="L38" s="67"/>
      <c r="M38" s="67"/>
      <c r="N38" s="67"/>
      <c r="O38" s="67"/>
    </row>
    <row r="39" spans="1:15" x14ac:dyDescent="0.2">
      <c r="A39" s="67"/>
      <c r="B39" s="36" t="s">
        <v>40</v>
      </c>
      <c r="C39" s="36"/>
      <c r="D39" s="4"/>
      <c r="E39" s="4"/>
      <c r="F39" s="4"/>
      <c r="G39" s="4"/>
      <c r="H39" s="4"/>
      <c r="I39" s="4"/>
      <c r="J39" s="4"/>
      <c r="K39" s="4"/>
      <c r="L39" s="4"/>
      <c r="M39" s="4"/>
      <c r="N39" s="4"/>
      <c r="O39" s="67"/>
    </row>
    <row r="40" spans="1:15" x14ac:dyDescent="0.2">
      <c r="A40" s="67"/>
      <c r="B40" s="45">
        <v>14</v>
      </c>
      <c r="C40" s="67" t="s">
        <v>41</v>
      </c>
      <c r="D40" s="67"/>
      <c r="E40" s="67"/>
      <c r="F40" s="67"/>
      <c r="G40" s="67"/>
      <c r="H40" s="67"/>
      <c r="I40" s="67"/>
      <c r="J40" s="67"/>
      <c r="K40" s="67"/>
      <c r="L40" s="67"/>
      <c r="M40" s="67"/>
      <c r="N40" s="67"/>
      <c r="O40" s="67"/>
    </row>
    <row r="41" spans="1:15" x14ac:dyDescent="0.2">
      <c r="A41" s="67"/>
      <c r="B41" s="67"/>
      <c r="C41" s="67"/>
      <c r="D41" s="67"/>
      <c r="E41" s="67"/>
      <c r="F41" s="67"/>
      <c r="G41" s="67"/>
      <c r="H41" s="67"/>
      <c r="I41" s="67"/>
      <c r="J41" s="67"/>
      <c r="K41" s="67"/>
      <c r="L41" s="67"/>
      <c r="M41" s="67"/>
      <c r="N41" s="67"/>
      <c r="O41" s="67"/>
    </row>
    <row r="42" spans="1:15" x14ac:dyDescent="0.2">
      <c r="A42" s="67"/>
      <c r="B42" s="67"/>
      <c r="C42" s="67"/>
      <c r="D42" s="67"/>
      <c r="E42" s="67"/>
      <c r="F42" s="67"/>
      <c r="G42" s="67"/>
      <c r="H42" s="67"/>
      <c r="I42" s="67"/>
      <c r="J42" s="67"/>
      <c r="K42" s="67"/>
      <c r="L42" s="67"/>
      <c r="M42" s="67"/>
      <c r="N42" s="67"/>
      <c r="O42" s="67"/>
    </row>
    <row r="43" spans="1:15" x14ac:dyDescent="0.2">
      <c r="A43" s="67"/>
      <c r="B43" s="67"/>
      <c r="C43" s="67"/>
      <c r="D43" s="67"/>
      <c r="E43" s="67"/>
      <c r="F43" s="67"/>
      <c r="G43" s="67"/>
      <c r="H43" s="67"/>
      <c r="I43" s="67"/>
      <c r="J43" s="67"/>
      <c r="K43" s="67"/>
      <c r="L43" s="67"/>
      <c r="M43" s="67"/>
      <c r="N43" s="67"/>
      <c r="O43" s="67"/>
    </row>
    <row r="44" spans="1:15" hidden="1" x14ac:dyDescent="0.2">
      <c r="A44" s="67"/>
      <c r="B44" s="67"/>
      <c r="C44" s="67"/>
      <c r="D44" s="67"/>
      <c r="E44" s="67"/>
      <c r="F44" s="67"/>
      <c r="G44" s="67"/>
      <c r="H44" s="67"/>
      <c r="I44" s="67"/>
      <c r="J44" s="67"/>
      <c r="K44" s="67"/>
      <c r="L44" s="67"/>
      <c r="M44" s="67"/>
      <c r="N44" s="67"/>
      <c r="O44" s="67"/>
    </row>
    <row r="45" spans="1:15" hidden="1" x14ac:dyDescent="0.2">
      <c r="A45" s="67"/>
      <c r="B45" s="67"/>
      <c r="C45" s="67"/>
      <c r="D45" s="67"/>
      <c r="E45" s="67"/>
      <c r="F45" s="67"/>
      <c r="G45" s="67"/>
      <c r="H45" s="67"/>
      <c r="I45" s="67"/>
      <c r="J45" s="67"/>
      <c r="K45" s="67"/>
      <c r="L45" s="67"/>
      <c r="M45" s="67"/>
      <c r="N45" s="67"/>
      <c r="O45" s="67"/>
    </row>
    <row r="46" spans="1:15" hidden="1" x14ac:dyDescent="0.2">
      <c r="A46" s="67"/>
      <c r="B46" s="67"/>
      <c r="C46" s="67"/>
      <c r="D46" s="67"/>
      <c r="E46" s="67"/>
      <c r="F46" s="67"/>
      <c r="G46" s="67"/>
      <c r="H46" s="67"/>
      <c r="I46" s="67"/>
      <c r="J46" s="67"/>
      <c r="K46" s="67"/>
      <c r="L46" s="67"/>
      <c r="M46" s="67"/>
      <c r="N46" s="67"/>
      <c r="O46" s="67"/>
    </row>
    <row r="47" spans="1:15" hidden="1" x14ac:dyDescent="0.2">
      <c r="A47" s="67"/>
      <c r="B47" s="67"/>
      <c r="C47" s="67"/>
      <c r="D47" s="67"/>
      <c r="E47" s="67"/>
      <c r="F47" s="67"/>
      <c r="G47" s="67"/>
      <c r="H47" s="67"/>
      <c r="I47" s="67"/>
      <c r="J47" s="67"/>
      <c r="K47" s="67"/>
      <c r="L47" s="67"/>
      <c r="M47" s="67"/>
      <c r="N47" s="67"/>
      <c r="O47" s="67"/>
    </row>
    <row r="48" spans="1:15" x14ac:dyDescent="0.2">
      <c r="A48" s="67"/>
      <c r="B48" s="67"/>
      <c r="C48" s="67"/>
      <c r="D48" s="67"/>
      <c r="E48" s="67"/>
      <c r="F48" s="67"/>
      <c r="G48" s="67"/>
      <c r="H48" s="67"/>
      <c r="I48" s="67"/>
      <c r="J48" s="67"/>
      <c r="K48" s="67"/>
      <c r="L48" s="67"/>
      <c r="M48" s="67"/>
      <c r="N48" s="67"/>
      <c r="O48" s="67"/>
    </row>
    <row r="49" spans="1:15" x14ac:dyDescent="0.2">
      <c r="A49" s="67"/>
      <c r="B49" s="67"/>
      <c r="C49" s="67"/>
      <c r="D49" s="67"/>
      <c r="E49" s="67"/>
      <c r="F49" s="67"/>
      <c r="G49" s="67"/>
      <c r="H49" s="67"/>
      <c r="I49" s="67"/>
      <c r="J49" s="67"/>
      <c r="K49" s="67"/>
      <c r="L49" s="67"/>
      <c r="M49" s="67"/>
      <c r="N49" s="67"/>
      <c r="O49" s="67"/>
    </row>
    <row r="50" spans="1:15" x14ac:dyDescent="0.2">
      <c r="A50" s="67"/>
      <c r="B50" s="67"/>
      <c r="C50" s="67"/>
      <c r="D50" s="67"/>
      <c r="E50" s="67"/>
      <c r="F50" s="67"/>
      <c r="G50" s="67"/>
      <c r="H50" s="67"/>
      <c r="I50" s="67"/>
      <c r="J50" s="67"/>
      <c r="K50" s="67"/>
      <c r="L50" s="67"/>
      <c r="M50" s="67"/>
      <c r="N50" s="67"/>
      <c r="O50" s="67"/>
    </row>
    <row r="51" spans="1:15" x14ac:dyDescent="0.2">
      <c r="A51" s="67"/>
      <c r="B51" s="67"/>
      <c r="C51" s="67"/>
      <c r="D51" s="67"/>
      <c r="E51" s="67"/>
      <c r="F51" s="67"/>
      <c r="G51" s="67"/>
      <c r="H51" s="67"/>
      <c r="I51" s="67"/>
      <c r="J51" s="67"/>
      <c r="K51" s="67"/>
      <c r="L51" s="67"/>
      <c r="M51" s="67"/>
      <c r="N51" s="67"/>
      <c r="O51" s="67"/>
    </row>
    <row r="52" spans="1:15" x14ac:dyDescent="0.2">
      <c r="A52" s="67"/>
      <c r="B52" s="67"/>
      <c r="C52" s="67"/>
      <c r="D52" s="67"/>
      <c r="E52" s="67"/>
      <c r="F52" s="67"/>
      <c r="G52" s="67"/>
      <c r="H52" s="67"/>
      <c r="I52" s="67"/>
      <c r="J52" s="67"/>
      <c r="K52" s="67"/>
      <c r="L52" s="67"/>
      <c r="M52" s="67"/>
      <c r="N52" s="67"/>
      <c r="O52" s="67"/>
    </row>
    <row r="53" spans="1:15" x14ac:dyDescent="0.2">
      <c r="A53" s="67"/>
      <c r="B53" s="67"/>
      <c r="C53" s="67"/>
      <c r="D53" s="67"/>
      <c r="E53" s="67"/>
      <c r="F53" s="67"/>
      <c r="G53" s="67"/>
      <c r="H53" s="67"/>
      <c r="I53" s="67"/>
      <c r="J53" s="67"/>
      <c r="K53" s="67"/>
      <c r="L53" s="67"/>
      <c r="M53" s="67"/>
      <c r="N53" s="67"/>
      <c r="O53" s="67"/>
    </row>
    <row r="54" spans="1:15" x14ac:dyDescent="0.2">
      <c r="A54" s="67"/>
      <c r="B54" s="67"/>
      <c r="C54" s="67"/>
      <c r="D54" s="67"/>
      <c r="E54" s="67"/>
      <c r="F54" s="67"/>
      <c r="G54" s="67"/>
      <c r="H54" s="67"/>
      <c r="I54" s="67"/>
      <c r="J54" s="67"/>
      <c r="K54" s="67"/>
      <c r="L54" s="67"/>
      <c r="M54" s="67"/>
      <c r="N54" s="67"/>
      <c r="O54" s="67"/>
    </row>
    <row r="55" spans="1:15" x14ac:dyDescent="0.2">
      <c r="A55" s="67"/>
      <c r="B55" s="67"/>
      <c r="C55" s="67"/>
      <c r="D55" s="67"/>
      <c r="E55" s="67"/>
      <c r="F55" s="67"/>
      <c r="G55" s="67"/>
      <c r="H55" s="67"/>
      <c r="I55" s="67"/>
      <c r="J55" s="67"/>
      <c r="K55" s="67"/>
      <c r="L55" s="67"/>
      <c r="M55" s="67"/>
      <c r="N55" s="67"/>
      <c r="O55" s="67"/>
    </row>
    <row r="56" spans="1:15" x14ac:dyDescent="0.2">
      <c r="A56" s="67"/>
      <c r="B56" s="67"/>
      <c r="C56" s="67"/>
      <c r="D56" s="67"/>
      <c r="E56" s="67"/>
      <c r="F56" s="67"/>
      <c r="G56" s="67"/>
      <c r="H56" s="67"/>
      <c r="I56" s="67"/>
      <c r="J56" s="67"/>
      <c r="K56" s="67"/>
      <c r="L56" s="67"/>
      <c r="M56" s="67"/>
      <c r="N56" s="67"/>
      <c r="O56" s="67"/>
    </row>
    <row r="57" spans="1:15" x14ac:dyDescent="0.2">
      <c r="A57" s="67"/>
      <c r="B57" s="67"/>
      <c r="C57" s="67"/>
      <c r="D57" s="67"/>
      <c r="E57" s="67"/>
      <c r="F57" s="67"/>
      <c r="G57" s="67"/>
      <c r="H57" s="67"/>
      <c r="I57" s="67"/>
      <c r="J57" s="67"/>
      <c r="K57" s="67"/>
      <c r="L57" s="67"/>
      <c r="M57" s="67"/>
      <c r="N57" s="67"/>
      <c r="O57" s="67"/>
    </row>
    <row r="58" spans="1:15" x14ac:dyDescent="0.2">
      <c r="A58" s="67"/>
      <c r="B58" s="67"/>
      <c r="C58" s="67"/>
      <c r="D58" s="67"/>
      <c r="E58" s="67"/>
      <c r="F58" s="67"/>
      <c r="G58" s="67"/>
      <c r="H58" s="67"/>
      <c r="I58" s="67"/>
      <c r="J58" s="67"/>
      <c r="K58" s="67"/>
      <c r="L58" s="67"/>
      <c r="M58" s="67"/>
      <c r="N58" s="67"/>
      <c r="O58" s="67"/>
    </row>
    <row r="59" spans="1:15" x14ac:dyDescent="0.2">
      <c r="A59" s="67"/>
      <c r="B59" s="67"/>
      <c r="C59" s="67"/>
      <c r="D59" s="67"/>
      <c r="E59" s="67"/>
      <c r="F59" s="67"/>
      <c r="G59" s="67"/>
      <c r="H59" s="67"/>
      <c r="I59" s="67"/>
      <c r="J59" s="67"/>
      <c r="K59" s="67"/>
      <c r="L59" s="67"/>
      <c r="M59" s="67"/>
      <c r="N59" s="67"/>
      <c r="O59" s="67"/>
    </row>
    <row r="60" spans="1:15" x14ac:dyDescent="0.2">
      <c r="A60" s="67"/>
      <c r="B60" s="67"/>
      <c r="C60" s="67"/>
      <c r="D60" s="67"/>
      <c r="E60" s="67"/>
      <c r="F60" s="67"/>
      <c r="G60" s="67"/>
      <c r="H60" s="67"/>
      <c r="I60" s="67"/>
      <c r="J60" s="67"/>
      <c r="K60" s="67"/>
      <c r="L60" s="67"/>
      <c r="M60" s="67"/>
      <c r="N60" s="67"/>
      <c r="O60" s="67"/>
    </row>
    <row r="61" spans="1:15" x14ac:dyDescent="0.2">
      <c r="A61" s="67"/>
      <c r="B61" s="67"/>
      <c r="C61" s="67"/>
      <c r="D61" s="67"/>
      <c r="E61" s="67"/>
      <c r="F61" s="67"/>
      <c r="G61" s="67"/>
      <c r="H61" s="67"/>
      <c r="I61" s="67"/>
      <c r="J61" s="67"/>
      <c r="K61" s="67"/>
      <c r="L61" s="67"/>
      <c r="M61" s="67"/>
      <c r="N61" s="67"/>
      <c r="O61" s="67"/>
    </row>
    <row r="62" spans="1:15" x14ac:dyDescent="0.2">
      <c r="A62" s="67"/>
      <c r="B62" s="67"/>
      <c r="C62" s="67"/>
      <c r="D62" s="67"/>
      <c r="E62" s="67"/>
      <c r="F62" s="67"/>
      <c r="G62" s="67"/>
      <c r="H62" s="67"/>
      <c r="I62" s="67"/>
      <c r="J62" s="67"/>
      <c r="K62" s="67"/>
      <c r="L62" s="67"/>
      <c r="M62" s="67"/>
      <c r="N62" s="67"/>
      <c r="O62" s="67"/>
    </row>
    <row r="63" spans="1:15" x14ac:dyDescent="0.2">
      <c r="A63" s="67"/>
      <c r="B63" s="67"/>
      <c r="C63" s="67"/>
      <c r="D63" s="67"/>
      <c r="E63" s="67"/>
      <c r="F63" s="67"/>
      <c r="G63" s="67"/>
      <c r="H63" s="67"/>
      <c r="I63" s="67"/>
      <c r="J63" s="67"/>
      <c r="K63" s="67"/>
      <c r="L63" s="67"/>
      <c r="M63" s="67"/>
      <c r="N63" s="67"/>
      <c r="O63" s="67"/>
    </row>
    <row r="64" spans="1:15" x14ac:dyDescent="0.2">
      <c r="A64" s="67"/>
      <c r="B64" s="67"/>
      <c r="C64" s="67"/>
      <c r="D64" s="67"/>
      <c r="E64" s="67"/>
      <c r="F64" s="67"/>
      <c r="G64" s="67"/>
      <c r="H64" s="67"/>
      <c r="I64" s="67"/>
      <c r="J64" s="67"/>
      <c r="K64" s="67"/>
      <c r="L64" s="67"/>
      <c r="M64" s="67"/>
      <c r="N64" s="67"/>
      <c r="O64" s="67"/>
    </row>
    <row r="65" spans="1:15" x14ac:dyDescent="0.2">
      <c r="A65" s="67"/>
      <c r="B65" s="67"/>
      <c r="C65" s="67"/>
      <c r="D65" s="67"/>
      <c r="E65" s="67"/>
      <c r="F65" s="67"/>
      <c r="G65" s="67"/>
      <c r="H65" s="67"/>
      <c r="I65" s="67"/>
      <c r="J65" s="67"/>
      <c r="K65" s="67"/>
      <c r="L65" s="67"/>
      <c r="M65" s="67"/>
      <c r="N65" s="67"/>
      <c r="O65" s="67"/>
    </row>
    <row r="66" spans="1:15" x14ac:dyDescent="0.2">
      <c r="A66" s="67"/>
      <c r="B66" s="67"/>
      <c r="C66" s="67"/>
      <c r="D66" s="67"/>
      <c r="E66" s="67"/>
      <c r="F66" s="67"/>
      <c r="G66" s="67"/>
      <c r="H66" s="67"/>
      <c r="I66" s="67"/>
      <c r="J66" s="67"/>
      <c r="K66" s="67"/>
      <c r="L66" s="67"/>
      <c r="M66" s="67"/>
      <c r="N66" s="67"/>
      <c r="O66" s="67"/>
    </row>
    <row r="67" spans="1:15" x14ac:dyDescent="0.2">
      <c r="A67" s="67"/>
      <c r="B67" s="67"/>
      <c r="C67" s="67"/>
      <c r="D67" s="67"/>
      <c r="E67" s="67"/>
      <c r="F67" s="67"/>
      <c r="G67" s="67"/>
      <c r="H67" s="67"/>
      <c r="I67" s="67"/>
      <c r="J67" s="67"/>
      <c r="K67" s="67"/>
      <c r="L67" s="67"/>
      <c r="M67" s="67"/>
      <c r="N67" s="67"/>
      <c r="O67" s="67"/>
    </row>
    <row r="68" spans="1:15" x14ac:dyDescent="0.2">
      <c r="A68" s="67"/>
      <c r="B68" s="67"/>
      <c r="C68" s="67"/>
      <c r="D68" s="67"/>
      <c r="E68" s="67"/>
      <c r="F68" s="67"/>
      <c r="G68" s="67"/>
      <c r="H68" s="67"/>
      <c r="I68" s="67"/>
      <c r="J68" s="67"/>
      <c r="K68" s="67"/>
      <c r="L68" s="67"/>
      <c r="M68" s="67"/>
      <c r="N68" s="67"/>
      <c r="O68" s="67"/>
    </row>
    <row r="69" spans="1:15" x14ac:dyDescent="0.2">
      <c r="A69" s="67"/>
      <c r="B69" s="67"/>
      <c r="C69" s="67"/>
      <c r="D69" s="67"/>
      <c r="E69" s="67"/>
      <c r="F69" s="67"/>
      <c r="G69" s="67"/>
      <c r="H69" s="67"/>
      <c r="I69" s="67"/>
      <c r="J69" s="67"/>
      <c r="K69" s="67"/>
      <c r="L69" s="67"/>
      <c r="M69" s="67"/>
      <c r="N69" s="67"/>
      <c r="O69" s="67"/>
    </row>
    <row r="70" spans="1:15" hidden="1" x14ac:dyDescent="0.2">
      <c r="A70" s="67"/>
      <c r="B70" s="67"/>
      <c r="C70" s="67"/>
      <c r="D70" s="67"/>
      <c r="E70" s="67"/>
      <c r="F70" s="67"/>
      <c r="G70" s="67"/>
      <c r="H70" s="67"/>
      <c r="I70" s="67"/>
      <c r="J70" s="67"/>
      <c r="K70" s="67"/>
      <c r="L70" s="67"/>
      <c r="M70" s="67"/>
      <c r="N70" s="67"/>
      <c r="O70" s="67"/>
    </row>
    <row r="71" spans="1:15" hidden="1" x14ac:dyDescent="0.2">
      <c r="A71" s="67"/>
      <c r="B71" s="67"/>
      <c r="C71" s="67"/>
      <c r="D71" s="67"/>
      <c r="E71" s="67"/>
      <c r="F71" s="67"/>
      <c r="G71" s="67"/>
      <c r="H71" s="67"/>
      <c r="I71" s="67"/>
      <c r="J71" s="67"/>
      <c r="K71" s="67"/>
      <c r="L71" s="67"/>
      <c r="M71" s="67"/>
      <c r="N71" s="67"/>
      <c r="O71" s="67"/>
    </row>
    <row r="72" spans="1:15" hidden="1" x14ac:dyDescent="0.2">
      <c r="A72" s="67"/>
      <c r="B72" s="67"/>
      <c r="C72" s="67"/>
      <c r="D72" s="67"/>
      <c r="E72" s="67"/>
      <c r="F72" s="67"/>
      <c r="G72" s="67"/>
      <c r="H72" s="67"/>
      <c r="I72" s="67"/>
      <c r="J72" s="67"/>
      <c r="K72" s="67"/>
      <c r="L72" s="67"/>
      <c r="M72" s="67"/>
      <c r="N72" s="67"/>
      <c r="O72" s="67"/>
    </row>
    <row r="73" spans="1:15" hidden="1" x14ac:dyDescent="0.2">
      <c r="A73" s="67"/>
      <c r="B73" s="67"/>
      <c r="C73" s="67"/>
      <c r="D73" s="67"/>
      <c r="E73" s="67"/>
      <c r="F73" s="67"/>
      <c r="G73" s="67"/>
      <c r="H73" s="67"/>
      <c r="I73" s="67"/>
      <c r="J73" s="67"/>
      <c r="K73" s="67"/>
      <c r="L73" s="67"/>
      <c r="M73" s="67"/>
      <c r="N73" s="67"/>
      <c r="O73" s="67"/>
    </row>
    <row r="74" spans="1:15" hidden="1" x14ac:dyDescent="0.2">
      <c r="A74" s="67"/>
      <c r="B74" s="67"/>
      <c r="C74" s="67"/>
      <c r="D74" s="67"/>
      <c r="E74" s="67"/>
      <c r="F74" s="67"/>
      <c r="G74" s="67"/>
      <c r="H74" s="67"/>
      <c r="I74" s="67"/>
      <c r="J74" s="67"/>
      <c r="K74" s="67"/>
      <c r="L74" s="67"/>
      <c r="M74" s="67"/>
      <c r="N74" s="67"/>
      <c r="O74" s="67"/>
    </row>
  </sheetData>
  <sheetProtection sheet="1" objects="1" scenarios="1" selectLockedCells="1"/>
  <mergeCells count="5">
    <mergeCell ref="I15:I16"/>
    <mergeCell ref="H15:H16"/>
    <mergeCell ref="B18:C19"/>
    <mergeCell ref="F10:H10"/>
    <mergeCell ref="B8:H9"/>
  </mergeCells>
  <hyperlinks>
    <hyperlink ref="B10" r:id="rId1" display="Af Per Milkovic-Bangert's grundopskrift" xr:uid="{4B617A28-38AA-479C-AD78-E8066625ACD7}"/>
  </hyperlinks>
  <pageMargins left="0.25" right="0.25" top="0.75" bottom="0.75" header="0.3" footer="0.3"/>
  <pageSetup paperSize="9" scale="88"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CA9CC-DDC9-42CA-945F-316E9A7D87C0}">
  <sheetPr codeName="Ark4">
    <tabColor rgb="FFFFFFCC"/>
    <pageSetUpPr fitToPage="1"/>
  </sheetPr>
  <dimension ref="A1:J37"/>
  <sheetViews>
    <sheetView showRowColHeaders="0" zoomScaleNormal="100" workbookViewId="0">
      <selection activeCell="F14" sqref="F14"/>
    </sheetView>
  </sheetViews>
  <sheetFormatPr baseColWidth="10" defaultColWidth="0" defaultRowHeight="15" zeroHeight="1" x14ac:dyDescent="0.2"/>
  <cols>
    <col min="1" max="1" width="3.5" customWidth="1"/>
    <col min="2" max="2" width="6.83203125" customWidth="1"/>
    <col min="3" max="3" width="40.6640625" customWidth="1"/>
    <col min="4" max="4" width="3.5" customWidth="1"/>
    <col min="5" max="5" width="18.6640625" customWidth="1"/>
    <col min="6" max="6" width="9.1640625" customWidth="1"/>
    <col min="7" max="7" width="3.5" customWidth="1"/>
    <col min="8" max="8" width="6.83203125" customWidth="1"/>
    <col min="9" max="9" width="37.33203125" customWidth="1"/>
    <col min="10" max="10" width="3.33203125" style="1" customWidth="1"/>
    <col min="11" max="16384" width="9.1640625" style="1" hidden="1"/>
  </cols>
  <sheetData>
    <row r="1" spans="1:10" x14ac:dyDescent="0.2"/>
    <row r="2" spans="1:10" x14ac:dyDescent="0.2"/>
    <row r="3" spans="1:10" x14ac:dyDescent="0.2"/>
    <row r="4" spans="1:10" x14ac:dyDescent="0.2"/>
    <row r="5" spans="1:10" x14ac:dyDescent="0.2"/>
    <row r="6" spans="1:10" x14ac:dyDescent="0.2"/>
    <row r="7" spans="1:10" x14ac:dyDescent="0.2"/>
    <row r="8" spans="1:10" x14ac:dyDescent="0.2">
      <c r="A8" s="10"/>
      <c r="B8" s="477" t="s">
        <v>237</v>
      </c>
      <c r="C8" s="477"/>
      <c r="D8" s="477"/>
      <c r="E8" s="477"/>
      <c r="F8" s="477"/>
      <c r="G8" s="10"/>
      <c r="H8" s="10"/>
      <c r="I8" s="10"/>
      <c r="J8" s="10"/>
    </row>
    <row r="9" spans="1:10" ht="20.25" customHeight="1" x14ac:dyDescent="0.2">
      <c r="A9" s="10"/>
      <c r="B9" s="477"/>
      <c r="C9" s="477"/>
      <c r="D9" s="477"/>
      <c r="E9" s="477"/>
      <c r="F9" s="477"/>
      <c r="G9" s="10"/>
      <c r="H9" s="10"/>
      <c r="I9" s="10"/>
      <c r="J9" s="10"/>
    </row>
    <row r="10" spans="1:10" ht="16" x14ac:dyDescent="0.2">
      <c r="A10" s="10"/>
      <c r="B10" s="196" t="s">
        <v>238</v>
      </c>
      <c r="C10" s="10"/>
      <c r="D10" s="10"/>
      <c r="E10" s="10"/>
      <c r="F10" s="10"/>
      <c r="G10" s="10"/>
      <c r="H10" s="10"/>
      <c r="I10" s="10"/>
      <c r="J10" s="10"/>
    </row>
    <row r="11" spans="1:10" ht="16" x14ac:dyDescent="0.2">
      <c r="A11" s="10"/>
      <c r="B11" s="196" t="s">
        <v>252</v>
      </c>
      <c r="C11" s="10"/>
      <c r="D11" s="10"/>
      <c r="E11" s="10"/>
      <c r="F11" s="10"/>
      <c r="G11" s="10"/>
      <c r="H11" s="10"/>
      <c r="I11" s="10"/>
      <c r="J11" s="10"/>
    </row>
    <row r="12" spans="1:10" x14ac:dyDescent="0.2">
      <c r="A12" s="10"/>
      <c r="B12" s="10"/>
      <c r="C12" s="10"/>
      <c r="D12" s="10"/>
      <c r="E12" s="10"/>
      <c r="F12" s="10"/>
      <c r="G12" s="10"/>
      <c r="H12" s="10"/>
      <c r="I12" s="10"/>
      <c r="J12" s="10"/>
    </row>
    <row r="13" spans="1:10" x14ac:dyDescent="0.2">
      <c r="A13" s="10"/>
      <c r="B13" s="65" t="str">
        <f>"Grunddej ingredienser                        (Hydration "&amp;ROUND((B14/(B17+B18))*100,0)&amp;"%)"</f>
        <v>Grunddej ingredienser                        (Hydration 67%)</v>
      </c>
      <c r="C13" s="164"/>
      <c r="D13" s="10"/>
      <c r="E13" s="71" t="s">
        <v>31</v>
      </c>
      <c r="F13" s="72"/>
      <c r="G13" s="10"/>
      <c r="H13" s="71" t="s">
        <v>36</v>
      </c>
      <c r="I13" s="72"/>
      <c r="J13" s="10"/>
    </row>
    <row r="14" spans="1:10" x14ac:dyDescent="0.2">
      <c r="A14" s="10"/>
      <c r="B14" s="74">
        <v>200</v>
      </c>
      <c r="C14" s="11" t="s">
        <v>250</v>
      </c>
      <c r="D14" s="10"/>
      <c r="E14" s="24" t="s">
        <v>8</v>
      </c>
      <c r="F14" s="169">
        <v>4</v>
      </c>
      <c r="G14" s="10"/>
      <c r="H14" s="74">
        <f t="shared" ref="H14:H20" si="0">B14*($F$14*$F$15/$B$21)</f>
        <v>402.23463687150843</v>
      </c>
      <c r="I14" s="11" t="s">
        <v>250</v>
      </c>
      <c r="J14" s="10"/>
    </row>
    <row r="15" spans="1:10" x14ac:dyDescent="0.2">
      <c r="A15" s="10"/>
      <c r="B15" s="167">
        <v>10</v>
      </c>
      <c r="C15" s="11" t="s">
        <v>208</v>
      </c>
      <c r="D15" s="10"/>
      <c r="E15" s="24" t="s">
        <v>9</v>
      </c>
      <c r="F15" s="170">
        <v>270</v>
      </c>
      <c r="G15" s="10"/>
      <c r="H15" s="74">
        <f t="shared" si="0"/>
        <v>20.11173184357542</v>
      </c>
      <c r="I15" s="11" t="s">
        <v>208</v>
      </c>
      <c r="J15" s="10"/>
    </row>
    <row r="16" spans="1:10" x14ac:dyDescent="0.2">
      <c r="A16" s="10"/>
      <c r="B16" s="74">
        <v>7</v>
      </c>
      <c r="C16" s="11" t="s">
        <v>231</v>
      </c>
      <c r="D16" s="10"/>
      <c r="E16" s="141" t="s">
        <v>242</v>
      </c>
      <c r="F16" s="175">
        <v>2</v>
      </c>
      <c r="G16" s="10"/>
      <c r="H16" s="74">
        <f t="shared" si="0"/>
        <v>14.078212290502794</v>
      </c>
      <c r="I16" s="11" t="s">
        <v>229</v>
      </c>
      <c r="J16" s="10"/>
    </row>
    <row r="17" spans="1:10" x14ac:dyDescent="0.2">
      <c r="A17" s="10"/>
      <c r="B17" s="74">
        <v>200</v>
      </c>
      <c r="C17" s="11" t="s">
        <v>233</v>
      </c>
      <c r="D17" s="10"/>
      <c r="E17" s="195" t="s">
        <v>35</v>
      </c>
      <c r="F17" s="194" t="str">
        <f>ROUND(F14*F15,0)&amp;" g"</f>
        <v>1080 g</v>
      </c>
      <c r="G17" s="10"/>
      <c r="H17" s="74">
        <f>IF(F16=1,B17*($F$14*$F$15/$B$21)+B18*($F$14*$F$15/$B$21),B17*($F$14*$F$15/$B$21))</f>
        <v>402.23463687150843</v>
      </c>
      <c r="I17" s="11" t="s">
        <v>233</v>
      </c>
      <c r="J17" s="10"/>
    </row>
    <row r="18" spans="1:10" x14ac:dyDescent="0.2">
      <c r="A18" s="10"/>
      <c r="B18" s="74">
        <v>100</v>
      </c>
      <c r="C18" s="11" t="s">
        <v>235</v>
      </c>
      <c r="D18" s="10"/>
      <c r="E18" s="163"/>
      <c r="F18" s="19"/>
      <c r="G18" s="10"/>
      <c r="H18" s="167">
        <f>IF(F16=1,"-",B18*($F$14*$F$15/$B$21))</f>
        <v>201.11731843575421</v>
      </c>
      <c r="I18" s="11" t="str">
        <f>IF(F16=1,"-","g semola-mel")</f>
        <v>g semola-mel</v>
      </c>
      <c r="J18" s="10"/>
    </row>
    <row r="19" spans="1:10" x14ac:dyDescent="0.2">
      <c r="A19" s="10"/>
      <c r="B19" s="74">
        <v>13</v>
      </c>
      <c r="C19" s="11" t="s">
        <v>234</v>
      </c>
      <c r="D19" s="10"/>
      <c r="E19" s="10"/>
      <c r="F19" s="10"/>
      <c r="G19" s="10"/>
      <c r="H19" s="74">
        <f t="shared" si="0"/>
        <v>26.145251396648046</v>
      </c>
      <c r="I19" s="11" t="s">
        <v>239</v>
      </c>
      <c r="J19" s="10"/>
    </row>
    <row r="20" spans="1:10" x14ac:dyDescent="0.2">
      <c r="A20" s="10"/>
      <c r="B20" s="166">
        <v>7</v>
      </c>
      <c r="C20" s="9" t="s">
        <v>230</v>
      </c>
      <c r="D20" s="10"/>
      <c r="E20" s="10"/>
      <c r="F20" s="10"/>
      <c r="G20" s="10"/>
      <c r="H20" s="166">
        <f t="shared" si="0"/>
        <v>14.078212290502794</v>
      </c>
      <c r="I20" s="9" t="s">
        <v>34</v>
      </c>
      <c r="J20" s="10"/>
    </row>
    <row r="21" spans="1:10" x14ac:dyDescent="0.2">
      <c r="A21" s="10"/>
      <c r="B21" s="168">
        <f>SUM(B14:B20)</f>
        <v>537</v>
      </c>
      <c r="C21" s="165" t="s">
        <v>236</v>
      </c>
      <c r="D21" s="10"/>
      <c r="E21" s="10"/>
      <c r="F21" s="10"/>
      <c r="G21" s="10"/>
      <c r="H21" s="168">
        <f>SUM(H14:H20)</f>
        <v>1080</v>
      </c>
      <c r="I21" s="165" t="s">
        <v>236</v>
      </c>
      <c r="J21" s="10"/>
    </row>
    <row r="22" spans="1:10" x14ac:dyDescent="0.2">
      <c r="B22" s="10"/>
      <c r="C22" s="10"/>
      <c r="D22" s="10"/>
      <c r="E22" s="10"/>
      <c r="F22" s="10"/>
      <c r="G22" s="10"/>
      <c r="H22" s="10"/>
      <c r="I22" s="10"/>
      <c r="J22" s="10"/>
    </row>
    <row r="23" spans="1:10" x14ac:dyDescent="0.2">
      <c r="A23" s="10"/>
      <c r="B23" s="10"/>
      <c r="C23" s="10"/>
      <c r="D23" s="10"/>
      <c r="E23" s="10"/>
      <c r="F23" s="10"/>
      <c r="G23" s="10"/>
      <c r="H23" s="10"/>
      <c r="I23" s="46"/>
      <c r="J23" s="10"/>
    </row>
    <row r="24" spans="1:10" x14ac:dyDescent="0.2">
      <c r="A24" s="10"/>
      <c r="B24" s="461" t="s">
        <v>11</v>
      </c>
      <c r="C24" s="461"/>
      <c r="D24" s="10"/>
      <c r="E24" s="10"/>
      <c r="F24" s="10"/>
      <c r="G24" s="10"/>
      <c r="H24" s="10"/>
      <c r="I24" s="46"/>
      <c r="J24" s="10"/>
    </row>
    <row r="25" spans="1:10" x14ac:dyDescent="0.2">
      <c r="A25" s="10"/>
      <c r="B25" s="478"/>
      <c r="C25" s="478"/>
      <c r="D25" s="4"/>
      <c r="E25" s="4"/>
      <c r="F25" s="4"/>
      <c r="G25" s="4"/>
      <c r="H25" s="4"/>
      <c r="I25" s="182"/>
      <c r="J25" s="10"/>
    </row>
    <row r="26" spans="1:10" x14ac:dyDescent="0.2">
      <c r="A26" s="10"/>
      <c r="B26" s="116">
        <v>1</v>
      </c>
      <c r="C26" s="10" t="s">
        <v>240</v>
      </c>
      <c r="D26" s="10"/>
      <c r="E26" s="10"/>
      <c r="F26" s="10"/>
      <c r="G26" s="10"/>
      <c r="H26" s="176" t="str">
        <f>ROUND(H14,0)&amp;" g vand, "&amp;ROUND(H15,0)&amp;" g gær, "&amp;ROUND(H16,0)&amp;" g sukker"</f>
        <v>402 g vand, 20 g gær, 14 g sukker</v>
      </c>
      <c r="I26" s="72"/>
      <c r="J26" s="10"/>
    </row>
    <row r="27" spans="1:10" x14ac:dyDescent="0.2">
      <c r="A27" s="10"/>
      <c r="B27" s="116">
        <v>2</v>
      </c>
      <c r="C27" s="10" t="s">
        <v>241</v>
      </c>
      <c r="D27" s="10"/>
      <c r="E27" s="10"/>
      <c r="F27" s="10"/>
      <c r="G27" s="10"/>
      <c r="H27" s="176" t="str">
        <f>IF(F16=1,ROUND(H17/2,0)&amp;" g hvedemel",ROUND(H17/2,0)&amp;" g hvedemel, "&amp;ROUND(B18*($F$14*$F$15/$B$21)/2,0)&amp;" g semola-mel")</f>
        <v>201 g hvedemel, 101 g semola-mel</v>
      </c>
      <c r="I27" s="174"/>
      <c r="J27" s="10"/>
    </row>
    <row r="28" spans="1:10" x14ac:dyDescent="0.2">
      <c r="A28" s="10"/>
      <c r="B28" s="197">
        <v>3</v>
      </c>
      <c r="C28" s="10" t="s">
        <v>243</v>
      </c>
      <c r="D28" s="10"/>
      <c r="E28" s="10"/>
      <c r="F28" s="10"/>
      <c r="G28" s="10"/>
      <c r="H28" s="177" t="str">
        <f>ROUND(H19,0)&amp;" g olie, "&amp;ROUND(H20,0)&amp;" g salt, "&amp;IF(F16=1,ROUND(H17/2,0)&amp;" g hvedemel",ROUND(H17/2,0)&amp;" g hvedemel, "&amp;ROUND(B18*($F$14*$F$15/$B$21)/2,0)&amp;" g semola-mel")</f>
        <v>26 g olie, 14 g salt, 201 g hvedemel, 101 g semola-mel</v>
      </c>
      <c r="I28" s="96"/>
      <c r="J28" s="10"/>
    </row>
    <row r="29" spans="1:10" x14ac:dyDescent="0.2">
      <c r="A29" s="10"/>
      <c r="B29" s="197">
        <v>4</v>
      </c>
      <c r="C29" s="10" t="s">
        <v>244</v>
      </c>
      <c r="D29" s="10"/>
      <c r="E29" s="10"/>
      <c r="F29" s="10"/>
      <c r="G29" s="10"/>
      <c r="H29" s="10"/>
      <c r="I29" s="46"/>
      <c r="J29" s="10"/>
    </row>
    <row r="30" spans="1:10" x14ac:dyDescent="0.2">
      <c r="A30" s="10"/>
      <c r="B30" s="197">
        <v>5</v>
      </c>
      <c r="C30" s="10" t="s">
        <v>248</v>
      </c>
      <c r="D30" s="10"/>
      <c r="E30" s="10"/>
      <c r="F30" s="10"/>
      <c r="G30" s="10"/>
      <c r="H30" s="10"/>
      <c r="I30" s="46"/>
      <c r="J30" s="10"/>
    </row>
    <row r="31" spans="1:10" x14ac:dyDescent="0.2">
      <c r="A31" s="10"/>
      <c r="B31" s="197">
        <v>6</v>
      </c>
      <c r="C31" s="10" t="str">
        <f>"Del dejen i "&amp;F14&amp;" klumper af ca. "&amp;ROUND(F15,0)&amp;" g. med f.eks. en bagespatel."</f>
        <v>Del dejen i 4 klumper af ca. 270 g. med f.eks. en bagespatel.</v>
      </c>
      <c r="D31" s="10"/>
      <c r="E31" s="10"/>
      <c r="F31" s="10"/>
      <c r="G31" s="10"/>
      <c r="H31" s="10"/>
      <c r="I31" s="46"/>
      <c r="J31" s="10"/>
    </row>
    <row r="32" spans="1:10" x14ac:dyDescent="0.2">
      <c r="A32" s="10"/>
      <c r="B32" s="116">
        <v>7</v>
      </c>
      <c r="C32" s="10" t="s">
        <v>245</v>
      </c>
      <c r="D32" s="10"/>
      <c r="E32" s="10"/>
      <c r="F32" s="10"/>
      <c r="G32" s="10"/>
      <c r="H32" s="10"/>
      <c r="I32" s="46"/>
      <c r="J32" s="10"/>
    </row>
    <row r="33" spans="1:10" x14ac:dyDescent="0.2">
      <c r="A33" s="10"/>
      <c r="B33" s="197"/>
      <c r="C33" s="10" t="s">
        <v>27</v>
      </c>
      <c r="D33" s="10"/>
      <c r="E33" s="10"/>
      <c r="F33" s="10"/>
      <c r="G33" s="10"/>
      <c r="H33" s="10"/>
      <c r="I33" s="10"/>
      <c r="J33" s="10"/>
    </row>
    <row r="34" spans="1:10" x14ac:dyDescent="0.2">
      <c r="A34" s="10"/>
      <c r="B34" s="188">
        <v>8</v>
      </c>
      <c r="C34" s="4" t="s">
        <v>247</v>
      </c>
      <c r="D34" s="4"/>
      <c r="E34" s="4"/>
      <c r="F34" s="4"/>
      <c r="G34" s="4"/>
      <c r="H34" s="4"/>
      <c r="I34" s="4"/>
      <c r="J34" s="10"/>
    </row>
    <row r="35" spans="1:10" x14ac:dyDescent="0.2">
      <c r="A35" s="10"/>
      <c r="B35" s="10"/>
      <c r="C35" s="10"/>
      <c r="D35" s="10"/>
      <c r="E35" s="10"/>
      <c r="F35" s="10"/>
      <c r="G35" s="10"/>
      <c r="H35" s="10"/>
      <c r="I35" s="10"/>
      <c r="J35" s="10"/>
    </row>
    <row r="36" spans="1:10" hidden="1" x14ac:dyDescent="0.2">
      <c r="B36" s="1"/>
      <c r="C36" s="1"/>
      <c r="D36" s="1"/>
      <c r="E36" s="1"/>
      <c r="F36" s="1"/>
      <c r="G36" s="1"/>
      <c r="H36" s="1"/>
      <c r="I36" s="1"/>
    </row>
    <row r="37" spans="1:10" hidden="1" x14ac:dyDescent="0.2">
      <c r="B37" s="1"/>
      <c r="C37" s="1"/>
      <c r="D37" s="1"/>
      <c r="E37" s="1"/>
      <c r="F37" s="1"/>
      <c r="G37" s="1"/>
      <c r="H37" s="1"/>
      <c r="I37" s="1"/>
    </row>
  </sheetData>
  <sheetProtection sheet="1" objects="1" scenarios="1" selectLockedCells="1"/>
  <mergeCells count="2">
    <mergeCell ref="B8:F9"/>
    <mergeCell ref="B24:C25"/>
  </mergeCells>
  <dataValidations count="1">
    <dataValidation type="list" allowBlank="1" showInputMessage="1" showErrorMessage="1" errorTitle="Benyt 1 eller 2 meltyper?" error="Gorm benytter både tipo 00 hvedemel og semola-mel._x000a__x000a_Du kan nøjes med at bruge samme tipo 00 mel til hele dejen. " sqref="F16" xr:uid="{45CBF6D8-04C1-4853-84F4-A91760757F97}">
      <formula1>"1,2"</formula1>
    </dataValidation>
  </dataValidations>
  <pageMargins left="0.25" right="0.25" top="0.75" bottom="0.75" header="0.3" footer="0.3"/>
  <pageSetup paperSize="9" scale="7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D5034-5274-4A78-8819-2EB190A5B42B}">
  <sheetPr codeName="Ark9">
    <tabColor rgb="FFFFFFCC"/>
  </sheetPr>
  <dimension ref="A1:N55"/>
  <sheetViews>
    <sheetView showRowColHeaders="0" workbookViewId="0">
      <selection activeCell="I3" sqref="I3:M3"/>
    </sheetView>
  </sheetViews>
  <sheetFormatPr baseColWidth="10" defaultColWidth="0" defaultRowHeight="15" zeroHeight="1" x14ac:dyDescent="0.2"/>
  <cols>
    <col min="1" max="13" width="8.6640625" customWidth="1"/>
    <col min="14" max="14" width="5.1640625" customWidth="1"/>
    <col min="15" max="16384" width="8.6640625" hidden="1"/>
  </cols>
  <sheetData>
    <row r="1" spans="1:14" x14ac:dyDescent="0.2">
      <c r="A1" s="213"/>
      <c r="B1" s="213"/>
      <c r="C1" s="213"/>
      <c r="D1" s="213"/>
      <c r="E1" s="213"/>
      <c r="F1" s="213"/>
      <c r="G1" s="213"/>
      <c r="H1" s="213"/>
      <c r="I1" s="213"/>
      <c r="J1" s="213"/>
      <c r="K1" s="213"/>
      <c r="L1" s="213"/>
      <c r="M1" s="213"/>
      <c r="N1" s="213"/>
    </row>
    <row r="2" spans="1:14" x14ac:dyDescent="0.2">
      <c r="A2" s="213"/>
      <c r="B2" s="213"/>
      <c r="C2" s="213"/>
      <c r="D2" s="213"/>
      <c r="E2" s="213"/>
      <c r="F2" s="213"/>
      <c r="G2" s="213"/>
      <c r="H2" s="213"/>
      <c r="I2" s="213"/>
      <c r="J2" s="213"/>
      <c r="K2" s="213"/>
      <c r="L2" s="213"/>
      <c r="M2" s="213"/>
      <c r="N2" s="213"/>
    </row>
    <row r="3" spans="1:14" x14ac:dyDescent="0.2">
      <c r="A3" s="213"/>
      <c r="B3" s="213"/>
      <c r="C3" s="213"/>
      <c r="D3" s="213"/>
      <c r="E3" s="213"/>
      <c r="F3" s="213"/>
      <c r="G3" s="213"/>
      <c r="H3" s="213"/>
      <c r="I3" s="479" t="s">
        <v>384</v>
      </c>
      <c r="J3" s="479"/>
      <c r="K3" s="479"/>
      <c r="L3" s="479"/>
      <c r="M3" s="479"/>
      <c r="N3" s="213"/>
    </row>
    <row r="4" spans="1:14" x14ac:dyDescent="0.2">
      <c r="A4" s="213"/>
      <c r="B4" s="213"/>
      <c r="C4" s="213"/>
      <c r="D4" s="213"/>
      <c r="E4" s="213"/>
      <c r="F4" s="213"/>
      <c r="G4" s="213"/>
      <c r="H4" s="213"/>
      <c r="I4" s="480" t="s">
        <v>383</v>
      </c>
      <c r="J4" s="480"/>
      <c r="K4" s="480"/>
      <c r="L4" s="480"/>
      <c r="M4" s="480"/>
      <c r="N4" s="213"/>
    </row>
    <row r="5" spans="1:14" x14ac:dyDescent="0.2">
      <c r="A5" s="213"/>
      <c r="B5" s="213"/>
      <c r="C5" s="213"/>
      <c r="D5" s="213"/>
      <c r="E5" s="213"/>
      <c r="F5" s="213"/>
      <c r="G5" s="213"/>
      <c r="H5" s="213"/>
      <c r="I5" s="213"/>
      <c r="J5" s="213"/>
      <c r="K5" s="213"/>
      <c r="L5" s="213"/>
      <c r="M5" s="213"/>
      <c r="N5" s="213"/>
    </row>
    <row r="6" spans="1:14" x14ac:dyDescent="0.2">
      <c r="A6" s="213"/>
      <c r="B6" s="213"/>
      <c r="C6" s="213"/>
      <c r="D6" s="213"/>
      <c r="E6" s="213"/>
      <c r="F6" s="213"/>
      <c r="G6" s="213"/>
      <c r="H6" s="213"/>
      <c r="I6" s="213"/>
      <c r="J6" s="213"/>
      <c r="K6" s="213"/>
      <c r="L6" s="213"/>
      <c r="M6" s="213"/>
      <c r="N6" s="213"/>
    </row>
    <row r="7" spans="1:14" x14ac:dyDescent="0.2">
      <c r="A7" s="213"/>
      <c r="B7" s="213"/>
      <c r="C7" s="213"/>
      <c r="D7" s="213"/>
      <c r="E7" s="213"/>
      <c r="F7" s="213"/>
      <c r="G7" s="213"/>
      <c r="H7" s="213"/>
      <c r="I7" s="213"/>
      <c r="J7" s="213"/>
      <c r="K7" s="213"/>
      <c r="L7" s="213"/>
      <c r="M7" s="213"/>
      <c r="N7" s="213"/>
    </row>
    <row r="8" spans="1:14" x14ac:dyDescent="0.2">
      <c r="A8" s="213"/>
      <c r="B8" s="213"/>
      <c r="C8" s="213"/>
      <c r="D8" s="213"/>
      <c r="E8" s="213"/>
      <c r="F8" s="213"/>
      <c r="G8" s="213"/>
      <c r="H8" s="213"/>
      <c r="I8" s="213"/>
      <c r="J8" s="213"/>
      <c r="K8" s="213"/>
      <c r="L8" s="213"/>
      <c r="M8" s="213"/>
      <c r="N8" s="213"/>
    </row>
    <row r="9" spans="1:14" x14ac:dyDescent="0.2">
      <c r="A9" s="213"/>
      <c r="B9" s="213"/>
      <c r="C9" s="213"/>
      <c r="D9" s="213"/>
      <c r="E9" s="213"/>
      <c r="F9" s="213"/>
      <c r="G9" s="213"/>
      <c r="H9" s="213"/>
      <c r="I9" s="213"/>
      <c r="J9" s="213"/>
      <c r="K9" s="213"/>
      <c r="L9" s="213"/>
      <c r="M9" s="213"/>
      <c r="N9" s="213"/>
    </row>
    <row r="10" spans="1:14" x14ac:dyDescent="0.2">
      <c r="A10" s="213"/>
      <c r="B10" s="213"/>
      <c r="C10" s="213"/>
      <c r="D10" s="213"/>
      <c r="E10" s="213"/>
      <c r="F10" s="213"/>
      <c r="G10" s="213"/>
      <c r="H10" s="213"/>
      <c r="I10" s="213"/>
      <c r="J10" s="213"/>
      <c r="K10" s="213"/>
      <c r="L10" s="213"/>
      <c r="M10" s="213"/>
      <c r="N10" s="213"/>
    </row>
    <row r="11" spans="1:14" x14ac:dyDescent="0.2">
      <c r="A11" s="213"/>
      <c r="B11" s="213"/>
      <c r="C11" s="213"/>
      <c r="D11" s="213"/>
      <c r="E11" s="213"/>
      <c r="F11" s="213"/>
      <c r="G11" s="213"/>
      <c r="H11" s="213"/>
      <c r="I11" s="213"/>
      <c r="J11" s="213"/>
      <c r="K11" s="213"/>
      <c r="L11" s="213"/>
      <c r="M11" s="213"/>
      <c r="N11" s="213"/>
    </row>
    <row r="12" spans="1:14" x14ac:dyDescent="0.2">
      <c r="A12" s="213"/>
      <c r="B12" s="213"/>
      <c r="C12" s="213"/>
      <c r="D12" s="213"/>
      <c r="E12" s="213"/>
      <c r="F12" s="213"/>
      <c r="G12" s="213"/>
      <c r="H12" s="213"/>
      <c r="I12" s="213"/>
      <c r="J12" s="213"/>
      <c r="K12" s="213"/>
      <c r="L12" s="213"/>
      <c r="M12" s="213"/>
      <c r="N12" s="213"/>
    </row>
    <row r="13" spans="1:14" x14ac:dyDescent="0.2">
      <c r="A13" s="213"/>
      <c r="B13" s="213"/>
      <c r="C13" s="213"/>
      <c r="D13" s="213"/>
      <c r="E13" s="213"/>
      <c r="F13" s="213"/>
      <c r="G13" s="213"/>
      <c r="H13" s="213"/>
      <c r="I13" s="213"/>
      <c r="J13" s="213"/>
      <c r="K13" s="213"/>
      <c r="L13" s="213"/>
      <c r="M13" s="213"/>
      <c r="N13" s="213"/>
    </row>
    <row r="14" spans="1:14" x14ac:dyDescent="0.2">
      <c r="A14" s="213"/>
      <c r="B14" s="213"/>
      <c r="C14" s="213"/>
      <c r="D14" s="213"/>
      <c r="E14" s="213"/>
      <c r="F14" s="213"/>
      <c r="G14" s="213"/>
      <c r="H14" s="213"/>
      <c r="I14" s="213"/>
      <c r="J14" s="213"/>
      <c r="K14" s="213"/>
      <c r="L14" s="213"/>
      <c r="M14" s="213"/>
      <c r="N14" s="213"/>
    </row>
    <row r="15" spans="1:14" x14ac:dyDescent="0.2">
      <c r="A15" s="213"/>
      <c r="B15" s="213"/>
      <c r="C15" s="213"/>
      <c r="D15" s="213"/>
      <c r="E15" s="213"/>
      <c r="F15" s="213"/>
      <c r="G15" s="213"/>
      <c r="H15" s="213"/>
      <c r="I15" s="213"/>
      <c r="J15" s="213"/>
      <c r="K15" s="213"/>
      <c r="L15" s="213"/>
      <c r="M15" s="213"/>
      <c r="N15" s="213"/>
    </row>
    <row r="16" spans="1:14" x14ac:dyDescent="0.2">
      <c r="A16" s="213"/>
      <c r="B16" s="213"/>
      <c r="C16" s="213"/>
      <c r="D16" s="213"/>
      <c r="E16" s="213"/>
      <c r="F16" s="213"/>
      <c r="G16" s="213"/>
      <c r="H16" s="213"/>
      <c r="I16" s="213"/>
      <c r="J16" s="213"/>
      <c r="K16" s="213"/>
      <c r="L16" s="213"/>
      <c r="M16" s="213"/>
      <c r="N16" s="213"/>
    </row>
    <row r="17" spans="1:14" x14ac:dyDescent="0.2">
      <c r="A17" s="213"/>
      <c r="B17" s="213"/>
      <c r="C17" s="213"/>
      <c r="D17" s="213"/>
      <c r="E17" s="213"/>
      <c r="F17" s="213"/>
      <c r="G17" s="213"/>
      <c r="H17" s="213"/>
      <c r="I17" s="213"/>
      <c r="J17" s="213"/>
      <c r="K17" s="213"/>
      <c r="L17" s="213"/>
      <c r="M17" s="213"/>
      <c r="N17" s="213"/>
    </row>
    <row r="18" spans="1:14" x14ac:dyDescent="0.2">
      <c r="A18" s="213"/>
      <c r="B18" s="213"/>
      <c r="C18" s="213"/>
      <c r="D18" s="213"/>
      <c r="E18" s="213"/>
      <c r="F18" s="213"/>
      <c r="G18" s="213"/>
      <c r="H18" s="213"/>
      <c r="I18" s="213"/>
      <c r="J18" s="213"/>
      <c r="K18" s="213"/>
      <c r="L18" s="213"/>
      <c r="M18" s="213"/>
      <c r="N18" s="213"/>
    </row>
    <row r="19" spans="1:14" x14ac:dyDescent="0.2">
      <c r="A19" s="213"/>
      <c r="B19" s="213"/>
      <c r="C19" s="213"/>
      <c r="D19" s="213"/>
      <c r="E19" s="213"/>
      <c r="F19" s="213"/>
      <c r="G19" s="213"/>
      <c r="H19" s="213"/>
      <c r="I19" s="213"/>
      <c r="J19" s="213"/>
      <c r="K19" s="213"/>
      <c r="L19" s="213"/>
      <c r="M19" s="213"/>
      <c r="N19" s="213"/>
    </row>
    <row r="20" spans="1:14" x14ac:dyDescent="0.2">
      <c r="A20" s="213"/>
      <c r="B20" s="213"/>
      <c r="C20" s="213"/>
      <c r="D20" s="213"/>
      <c r="E20" s="213"/>
      <c r="F20" s="213"/>
      <c r="G20" s="213"/>
      <c r="H20" s="213"/>
      <c r="I20" s="213"/>
      <c r="J20" s="213"/>
      <c r="K20" s="213"/>
      <c r="L20" s="213"/>
      <c r="M20" s="213"/>
      <c r="N20" s="213"/>
    </row>
    <row r="21" spans="1:14" x14ac:dyDescent="0.2">
      <c r="A21" s="213"/>
      <c r="B21" s="213"/>
      <c r="C21" s="213"/>
      <c r="D21" s="213"/>
      <c r="E21" s="213"/>
      <c r="F21" s="213"/>
      <c r="G21" s="213"/>
      <c r="H21" s="213"/>
      <c r="I21" s="213"/>
      <c r="J21" s="213"/>
      <c r="K21" s="213"/>
      <c r="L21" s="213"/>
      <c r="M21" s="213"/>
      <c r="N21" s="213"/>
    </row>
    <row r="22" spans="1:14" x14ac:dyDescent="0.2">
      <c r="A22" s="213"/>
      <c r="B22" s="213"/>
      <c r="C22" s="213"/>
      <c r="D22" s="213"/>
      <c r="E22" s="213"/>
      <c r="F22" s="213"/>
      <c r="G22" s="213"/>
      <c r="H22" s="213"/>
      <c r="I22" s="213"/>
      <c r="J22" s="213"/>
      <c r="K22" s="213"/>
      <c r="L22" s="213"/>
      <c r="M22" s="213"/>
      <c r="N22" s="213"/>
    </row>
    <row r="23" spans="1:14" x14ac:dyDescent="0.2">
      <c r="A23" s="213"/>
      <c r="B23" s="213"/>
      <c r="C23" s="213"/>
      <c r="D23" s="213"/>
      <c r="E23" s="213"/>
      <c r="F23" s="213"/>
      <c r="G23" s="213"/>
      <c r="H23" s="213"/>
      <c r="I23" s="213"/>
      <c r="J23" s="213"/>
      <c r="K23" s="213"/>
      <c r="L23" s="213"/>
      <c r="M23" s="213"/>
      <c r="N23" s="213"/>
    </row>
    <row r="24" spans="1:14" x14ac:dyDescent="0.2">
      <c r="A24" s="213"/>
      <c r="B24" s="213"/>
      <c r="C24" s="213"/>
      <c r="D24" s="213"/>
      <c r="E24" s="213"/>
      <c r="F24" s="213"/>
      <c r="G24" s="213"/>
      <c r="H24" s="213"/>
      <c r="I24" s="213"/>
      <c r="J24" s="213"/>
      <c r="K24" s="213"/>
      <c r="L24" s="213"/>
      <c r="M24" s="213"/>
      <c r="N24" s="213"/>
    </row>
    <row r="25" spans="1:14" x14ac:dyDescent="0.2">
      <c r="A25" s="213"/>
      <c r="B25" s="213"/>
      <c r="C25" s="213"/>
      <c r="D25" s="213"/>
      <c r="E25" s="213"/>
      <c r="F25" s="213"/>
      <c r="G25" s="213"/>
      <c r="H25" s="213"/>
      <c r="I25" s="213"/>
      <c r="J25" s="213"/>
      <c r="K25" s="213"/>
      <c r="L25" s="213"/>
      <c r="M25" s="213"/>
      <c r="N25" s="213"/>
    </row>
    <row r="26" spans="1:14" x14ac:dyDescent="0.2">
      <c r="A26" s="213"/>
      <c r="B26" s="213"/>
      <c r="C26" s="213"/>
      <c r="D26" s="213"/>
      <c r="E26" s="213"/>
      <c r="F26" s="213"/>
      <c r="G26" s="213"/>
      <c r="H26" s="213"/>
      <c r="I26" s="213"/>
      <c r="J26" s="213"/>
      <c r="K26" s="213"/>
      <c r="L26" s="213"/>
      <c r="M26" s="213"/>
      <c r="N26" s="213"/>
    </row>
    <row r="27" spans="1:14" x14ac:dyDescent="0.2">
      <c r="A27" s="213"/>
      <c r="B27" s="213"/>
      <c r="C27" s="213"/>
      <c r="D27" s="213"/>
      <c r="E27" s="213"/>
      <c r="F27" s="213"/>
      <c r="G27" s="213"/>
      <c r="H27" s="213"/>
      <c r="I27" s="213"/>
      <c r="J27" s="213"/>
      <c r="K27" s="213"/>
      <c r="L27" s="213"/>
      <c r="M27" s="213"/>
      <c r="N27" s="213"/>
    </row>
    <row r="28" spans="1:14" x14ac:dyDescent="0.2">
      <c r="A28" s="213"/>
      <c r="B28" s="213"/>
      <c r="C28" s="213"/>
      <c r="D28" s="213"/>
      <c r="E28" s="213"/>
      <c r="F28" s="213"/>
      <c r="G28" s="213"/>
      <c r="H28" s="213"/>
      <c r="I28" s="213"/>
      <c r="J28" s="213"/>
      <c r="K28" s="213"/>
      <c r="L28" s="213"/>
      <c r="M28" s="213"/>
      <c r="N28" s="213"/>
    </row>
    <row r="29" spans="1:14" x14ac:dyDescent="0.2">
      <c r="A29" s="213"/>
      <c r="B29" s="213"/>
      <c r="C29" s="213"/>
      <c r="D29" s="213"/>
      <c r="E29" s="213"/>
      <c r="F29" s="213"/>
      <c r="G29" s="213"/>
      <c r="H29" s="213"/>
      <c r="I29" s="213"/>
      <c r="J29" s="213"/>
      <c r="K29" s="213"/>
      <c r="L29" s="213"/>
      <c r="M29" s="213"/>
      <c r="N29" s="213"/>
    </row>
    <row r="30" spans="1:14" x14ac:dyDescent="0.2">
      <c r="A30" s="213"/>
      <c r="B30" s="213"/>
      <c r="C30" s="213"/>
      <c r="D30" s="213"/>
      <c r="E30" s="213"/>
      <c r="F30" s="213"/>
      <c r="G30" s="213"/>
      <c r="H30" s="213"/>
      <c r="I30" s="213"/>
      <c r="J30" s="213"/>
      <c r="K30" s="213"/>
      <c r="L30" s="213"/>
      <c r="M30" s="213"/>
      <c r="N30" s="213"/>
    </row>
    <row r="31" spans="1:14" x14ac:dyDescent="0.2">
      <c r="A31" s="213"/>
      <c r="B31" s="213"/>
      <c r="C31" s="213"/>
      <c r="D31" s="213"/>
      <c r="E31" s="213"/>
      <c r="F31" s="213"/>
      <c r="G31" s="213"/>
      <c r="H31" s="213"/>
      <c r="I31" s="213"/>
      <c r="J31" s="213"/>
      <c r="K31" s="213"/>
      <c r="L31" s="213"/>
      <c r="M31" s="213"/>
      <c r="N31" s="213"/>
    </row>
    <row r="32" spans="1:14" x14ac:dyDescent="0.2">
      <c r="A32" s="213"/>
      <c r="B32" s="213"/>
      <c r="C32" s="213"/>
      <c r="D32" s="213"/>
      <c r="E32" s="213"/>
      <c r="F32" s="213"/>
      <c r="G32" s="213"/>
      <c r="H32" s="213"/>
      <c r="I32" s="213"/>
      <c r="J32" s="213"/>
      <c r="K32" s="213"/>
      <c r="L32" s="213"/>
      <c r="M32" s="213"/>
      <c r="N32" s="213"/>
    </row>
    <row r="33" spans="1:14" x14ac:dyDescent="0.2">
      <c r="A33" s="213"/>
      <c r="B33" s="213"/>
      <c r="C33" s="213"/>
      <c r="D33" s="213"/>
      <c r="E33" s="213"/>
      <c r="F33" s="213"/>
      <c r="G33" s="213"/>
      <c r="H33" s="213"/>
      <c r="I33" s="213"/>
      <c r="J33" s="213"/>
      <c r="K33" s="213"/>
      <c r="L33" s="213"/>
      <c r="M33" s="213"/>
      <c r="N33" s="213"/>
    </row>
    <row r="34" spans="1:14" x14ac:dyDescent="0.2">
      <c r="A34" s="213"/>
      <c r="B34" s="213"/>
      <c r="C34" s="213"/>
      <c r="D34" s="213"/>
      <c r="E34" s="213"/>
      <c r="F34" s="213"/>
      <c r="G34" s="213"/>
      <c r="H34" s="213"/>
      <c r="I34" s="213"/>
      <c r="J34" s="213"/>
      <c r="K34" s="213"/>
      <c r="L34" s="213"/>
      <c r="M34" s="213"/>
      <c r="N34" s="213"/>
    </row>
    <row r="35" spans="1:14" x14ac:dyDescent="0.2">
      <c r="A35" s="213"/>
      <c r="B35" s="213"/>
      <c r="C35" s="213"/>
      <c r="D35" s="213"/>
      <c r="E35" s="213"/>
      <c r="F35" s="213"/>
      <c r="G35" s="213"/>
      <c r="H35" s="213"/>
      <c r="I35" s="213"/>
      <c r="J35" s="213"/>
      <c r="K35" s="213"/>
      <c r="L35" s="213"/>
      <c r="M35" s="213"/>
      <c r="N35" s="213"/>
    </row>
    <row r="36" spans="1:14" x14ac:dyDescent="0.2">
      <c r="A36" s="213"/>
      <c r="B36" s="213"/>
      <c r="C36" s="213"/>
      <c r="D36" s="213"/>
      <c r="E36" s="213"/>
      <c r="F36" s="213"/>
      <c r="G36" s="213"/>
      <c r="H36" s="213"/>
      <c r="I36" s="213"/>
      <c r="J36" s="213"/>
      <c r="K36" s="213"/>
      <c r="L36" s="213"/>
      <c r="M36" s="213"/>
      <c r="N36" s="213"/>
    </row>
    <row r="37" spans="1:14" x14ac:dyDescent="0.2">
      <c r="A37" s="213"/>
      <c r="B37" s="213"/>
      <c r="C37" s="213"/>
      <c r="D37" s="213"/>
      <c r="E37" s="213"/>
      <c r="F37" s="213"/>
      <c r="G37" s="213"/>
      <c r="H37" s="213"/>
      <c r="I37" s="213"/>
      <c r="J37" s="213"/>
      <c r="K37" s="213"/>
      <c r="L37" s="213"/>
      <c r="M37" s="213"/>
      <c r="N37" s="213"/>
    </row>
    <row r="38" spans="1:14" x14ac:dyDescent="0.2">
      <c r="A38" s="213"/>
      <c r="B38" s="213"/>
      <c r="C38" s="213"/>
      <c r="D38" s="213"/>
      <c r="E38" s="213"/>
      <c r="F38" s="213"/>
      <c r="G38" s="213"/>
      <c r="H38" s="213"/>
      <c r="I38" s="213"/>
      <c r="J38" s="213"/>
      <c r="K38" s="213"/>
      <c r="L38" s="213"/>
      <c r="M38" s="213"/>
      <c r="N38" s="213"/>
    </row>
    <row r="39" spans="1:14" x14ac:dyDescent="0.2">
      <c r="A39" s="213"/>
      <c r="B39" s="213"/>
      <c r="C39" s="213"/>
      <c r="D39" s="213"/>
      <c r="E39" s="213"/>
      <c r="F39" s="213"/>
      <c r="G39" s="213"/>
      <c r="H39" s="213"/>
      <c r="I39" s="213"/>
      <c r="J39" s="213"/>
      <c r="K39" s="213"/>
      <c r="L39" s="213"/>
      <c r="M39" s="213"/>
      <c r="N39" s="213"/>
    </row>
    <row r="40" spans="1:14" x14ac:dyDescent="0.2">
      <c r="A40" s="213"/>
      <c r="B40" s="213"/>
      <c r="C40" s="213"/>
      <c r="D40" s="213"/>
      <c r="E40" s="213"/>
      <c r="F40" s="213"/>
      <c r="G40" s="213"/>
      <c r="H40" s="213"/>
      <c r="I40" s="213"/>
      <c r="J40" s="213"/>
      <c r="K40" s="213"/>
      <c r="L40" s="213"/>
      <c r="M40" s="213"/>
      <c r="N40" s="213"/>
    </row>
    <row r="41" spans="1:14" x14ac:dyDescent="0.2">
      <c r="A41" s="213"/>
      <c r="B41" s="213"/>
      <c r="C41" s="213"/>
      <c r="D41" s="213"/>
      <c r="E41" s="213"/>
      <c r="F41" s="213"/>
      <c r="G41" s="213"/>
      <c r="H41" s="213"/>
      <c r="I41" s="213"/>
      <c r="J41" s="213"/>
      <c r="K41" s="213"/>
      <c r="L41" s="213"/>
      <c r="M41" s="213"/>
      <c r="N41" s="213"/>
    </row>
    <row r="42" spans="1:14" x14ac:dyDescent="0.2">
      <c r="A42" s="213"/>
      <c r="B42" s="213"/>
      <c r="C42" s="213"/>
      <c r="D42" s="213"/>
      <c r="E42" s="213"/>
      <c r="F42" s="213"/>
      <c r="G42" s="213"/>
      <c r="H42" s="213"/>
      <c r="I42" s="213"/>
      <c r="J42" s="213"/>
      <c r="K42" s="213"/>
      <c r="L42" s="213"/>
      <c r="M42" s="213"/>
      <c r="N42" s="213"/>
    </row>
    <row r="43" spans="1:14" x14ac:dyDescent="0.2">
      <c r="A43" s="213"/>
      <c r="B43" s="213"/>
      <c r="C43" s="213"/>
      <c r="D43" s="213"/>
      <c r="E43" s="213"/>
      <c r="F43" s="213"/>
      <c r="G43" s="213"/>
      <c r="H43" s="213"/>
      <c r="I43" s="213"/>
      <c r="J43" s="213"/>
      <c r="K43" s="213"/>
      <c r="L43" s="213"/>
      <c r="M43" s="213"/>
      <c r="N43" s="213"/>
    </row>
    <row r="44" spans="1:14" x14ac:dyDescent="0.2">
      <c r="A44" s="213"/>
      <c r="B44" s="213"/>
      <c r="C44" s="213"/>
      <c r="D44" s="213"/>
      <c r="E44" s="213"/>
      <c r="F44" s="213"/>
      <c r="G44" s="213"/>
      <c r="H44" s="213"/>
      <c r="I44" s="213"/>
      <c r="J44" s="213"/>
      <c r="K44" s="213"/>
      <c r="L44" s="213"/>
      <c r="M44" s="213"/>
      <c r="N44" s="213"/>
    </row>
    <row r="45" spans="1:14" x14ac:dyDescent="0.2">
      <c r="A45" s="213"/>
      <c r="B45" s="213"/>
      <c r="C45" s="213"/>
      <c r="D45" s="213"/>
      <c r="E45" s="213"/>
      <c r="F45" s="213"/>
      <c r="G45" s="213"/>
      <c r="H45" s="213"/>
      <c r="I45" s="213"/>
      <c r="J45" s="213"/>
      <c r="K45" s="213"/>
      <c r="L45" s="213"/>
      <c r="M45" s="213"/>
      <c r="N45" s="213"/>
    </row>
    <row r="46" spans="1:14" x14ac:dyDescent="0.2">
      <c r="A46" s="213"/>
      <c r="B46" s="213"/>
      <c r="C46" s="213"/>
      <c r="D46" s="213"/>
      <c r="E46" s="213"/>
      <c r="F46" s="213"/>
      <c r="G46" s="213"/>
      <c r="H46" s="213"/>
      <c r="I46" s="213"/>
      <c r="J46" s="213"/>
      <c r="K46" s="213"/>
      <c r="L46" s="213"/>
      <c r="M46" s="213"/>
      <c r="N46" s="213"/>
    </row>
    <row r="47" spans="1:14" x14ac:dyDescent="0.2">
      <c r="A47" s="213"/>
      <c r="B47" s="213"/>
      <c r="C47" s="213"/>
      <c r="D47" s="213"/>
      <c r="E47" s="213"/>
      <c r="F47" s="213"/>
      <c r="G47" s="213"/>
      <c r="H47" s="213"/>
      <c r="I47" s="213"/>
      <c r="J47" s="213"/>
      <c r="K47" s="213"/>
      <c r="L47" s="213"/>
      <c r="M47" s="213"/>
      <c r="N47" s="213"/>
    </row>
    <row r="48" spans="1:14" x14ac:dyDescent="0.2">
      <c r="A48" s="213"/>
      <c r="B48" s="213"/>
      <c r="C48" s="213"/>
      <c r="D48" s="213"/>
      <c r="E48" s="213"/>
      <c r="F48" s="213"/>
      <c r="G48" s="213"/>
      <c r="H48" s="213"/>
      <c r="I48" s="213"/>
      <c r="J48" s="213"/>
      <c r="K48" s="213"/>
      <c r="L48" s="213"/>
      <c r="M48" s="213"/>
      <c r="N48" s="213"/>
    </row>
    <row r="49" spans="1:14" x14ac:dyDescent="0.2">
      <c r="A49" s="213"/>
      <c r="B49" s="213"/>
      <c r="C49" s="213"/>
      <c r="D49" s="213"/>
      <c r="E49" s="213"/>
      <c r="F49" s="213"/>
      <c r="G49" s="213"/>
      <c r="H49" s="213"/>
      <c r="I49" s="213"/>
      <c r="J49" s="213"/>
      <c r="K49" s="213"/>
      <c r="L49" s="213"/>
      <c r="M49" s="213"/>
      <c r="N49" s="213"/>
    </row>
    <row r="50" spans="1:14" x14ac:dyDescent="0.2">
      <c r="A50" s="213"/>
      <c r="B50" s="213"/>
      <c r="C50" s="213"/>
      <c r="D50" s="213"/>
      <c r="E50" s="213"/>
      <c r="F50" s="213"/>
      <c r="G50" s="213"/>
      <c r="H50" s="213"/>
      <c r="I50" s="213"/>
      <c r="J50" s="213"/>
      <c r="K50" s="213"/>
      <c r="L50" s="213"/>
      <c r="M50" s="213"/>
      <c r="N50" s="213"/>
    </row>
    <row r="51" spans="1:14" x14ac:dyDescent="0.2">
      <c r="A51" s="213"/>
      <c r="B51" s="213"/>
      <c r="C51" s="213"/>
      <c r="D51" s="213"/>
      <c r="E51" s="213"/>
      <c r="F51" s="213"/>
      <c r="G51" s="213"/>
      <c r="H51" s="213"/>
      <c r="I51" s="213"/>
      <c r="J51" s="213"/>
      <c r="K51" s="213"/>
      <c r="L51" s="213"/>
      <c r="M51" s="213"/>
      <c r="N51" s="213"/>
    </row>
    <row r="52" spans="1:14" x14ac:dyDescent="0.2">
      <c r="A52" s="213"/>
      <c r="B52" s="213"/>
      <c r="C52" s="213"/>
      <c r="D52" s="213"/>
      <c r="E52" s="213"/>
      <c r="F52" s="213"/>
      <c r="G52" s="213"/>
      <c r="H52" s="213"/>
      <c r="I52" s="213"/>
      <c r="J52" s="213"/>
      <c r="K52" s="213"/>
      <c r="L52" s="213"/>
      <c r="M52" s="213"/>
      <c r="N52" s="213"/>
    </row>
    <row r="53" spans="1:14" x14ac:dyDescent="0.2">
      <c r="A53" s="213"/>
      <c r="B53" s="213"/>
      <c r="C53" s="213"/>
      <c r="D53" s="213"/>
      <c r="E53" s="213"/>
      <c r="F53" s="213"/>
      <c r="G53" s="213"/>
      <c r="H53" s="213"/>
      <c r="I53" s="213"/>
      <c r="J53" s="213"/>
      <c r="K53" s="213"/>
      <c r="L53" s="213"/>
      <c r="M53" s="213"/>
      <c r="N53" s="213"/>
    </row>
    <row r="54" spans="1:14" x14ac:dyDescent="0.2">
      <c r="A54" s="213"/>
      <c r="B54" s="213"/>
      <c r="C54" s="213"/>
      <c r="D54" s="213"/>
      <c r="E54" s="213"/>
      <c r="F54" s="213"/>
      <c r="G54" s="213"/>
      <c r="H54" s="213"/>
      <c r="I54" s="213"/>
      <c r="J54" s="213"/>
      <c r="K54" s="213"/>
      <c r="L54" s="213"/>
      <c r="M54" s="213"/>
      <c r="N54" s="213"/>
    </row>
    <row r="55" spans="1:14" x14ac:dyDescent="0.2">
      <c r="A55" s="213"/>
      <c r="B55" s="213"/>
      <c r="C55" s="213"/>
      <c r="D55" s="213"/>
      <c r="E55" s="213"/>
      <c r="F55" s="213"/>
      <c r="G55" s="213"/>
      <c r="H55" s="213"/>
      <c r="I55" s="213"/>
      <c r="J55" s="213"/>
      <c r="K55" s="213"/>
      <c r="L55" s="213"/>
      <c r="M55" s="213"/>
      <c r="N55" s="213"/>
    </row>
  </sheetData>
  <sheetProtection formatCells="0" selectLockedCells="1" selectUnlockedCells="1"/>
  <mergeCells count="2">
    <mergeCell ref="I3:M3"/>
    <mergeCell ref="I4:M4"/>
  </mergeCells>
  <hyperlinks>
    <hyperlink ref="I3" r:id="rId1" display="Dough Fermentation calculator (åben i Chrome)" xr:uid="{F59472D8-7919-4EA0-9C68-BD96B22BC36B}"/>
  </hyperlinks>
  <pageMargins left="0.7" right="0.7" top="0.75" bottom="0.75" header="0.3" footer="0.3"/>
  <pageSetup paperSize="9" orientation="portrait" horizontalDpi="3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D4653-9293-431E-9A2B-EB6F932B5A6B}">
  <sheetPr codeName="Ark5">
    <tabColor rgb="FFC00000"/>
    <pageSetUpPr fitToPage="1"/>
  </sheetPr>
  <dimension ref="A1:O98"/>
  <sheetViews>
    <sheetView showRowColHeaders="0" zoomScaleNormal="100" workbookViewId="0">
      <selection activeCell="G27" sqref="G27"/>
    </sheetView>
  </sheetViews>
  <sheetFormatPr baseColWidth="10" defaultColWidth="0" defaultRowHeight="15" zeroHeight="1" x14ac:dyDescent="0.2"/>
  <cols>
    <col min="1" max="1" width="3.5" customWidth="1"/>
    <col min="2" max="2" width="5.33203125" customWidth="1"/>
    <col min="3" max="3" width="9.1640625" customWidth="1"/>
    <col min="4" max="4" width="12.5" customWidth="1"/>
    <col min="5" max="5" width="2.5" customWidth="1"/>
    <col min="6" max="6" width="2" customWidth="1"/>
    <col min="7" max="11" width="9.1640625" customWidth="1"/>
    <col min="12" max="12" width="3.6640625" customWidth="1"/>
    <col min="13" max="15" width="0" hidden="1" customWidth="1"/>
    <col min="16" max="16384" width="9.1640625" hidden="1"/>
  </cols>
  <sheetData>
    <row r="1" spans="1:15" ht="15" customHeight="1" x14ac:dyDescent="0.2">
      <c r="A1" s="67"/>
      <c r="B1" s="482" t="s">
        <v>65</v>
      </c>
      <c r="C1" s="482"/>
      <c r="D1" s="482"/>
      <c r="E1" s="482"/>
      <c r="F1" s="482"/>
      <c r="G1" s="482"/>
      <c r="H1" s="482"/>
      <c r="I1" s="482"/>
      <c r="J1" s="482"/>
      <c r="K1" s="482"/>
      <c r="L1" s="67"/>
    </row>
    <row r="2" spans="1:15" ht="15" customHeight="1" x14ac:dyDescent="0.2">
      <c r="A2" s="67"/>
      <c r="B2" s="482"/>
      <c r="C2" s="482"/>
      <c r="D2" s="482"/>
      <c r="E2" s="482"/>
      <c r="F2" s="482"/>
      <c r="G2" s="482"/>
      <c r="H2" s="482"/>
      <c r="I2" s="482"/>
      <c r="J2" s="482"/>
      <c r="K2" s="482"/>
      <c r="L2" s="67"/>
    </row>
    <row r="3" spans="1:15" x14ac:dyDescent="0.2">
      <c r="A3" s="67"/>
      <c r="B3" s="481" t="s">
        <v>50</v>
      </c>
      <c r="C3" s="481"/>
      <c r="D3" s="481"/>
      <c r="E3" s="481"/>
      <c r="F3" s="481"/>
      <c r="G3" s="481"/>
      <c r="H3" s="481"/>
      <c r="I3" s="481"/>
      <c r="J3" s="481"/>
      <c r="K3" s="481"/>
      <c r="L3" s="67"/>
    </row>
    <row r="4" spans="1:15" ht="8.25" customHeight="1" x14ac:dyDescent="0.2">
      <c r="A4" s="67"/>
      <c r="B4" s="67"/>
      <c r="C4" s="67"/>
      <c r="D4" s="67"/>
      <c r="E4" s="67"/>
      <c r="F4" s="67"/>
      <c r="G4" s="67"/>
      <c r="H4" s="67"/>
      <c r="I4" s="67"/>
      <c r="J4" s="67"/>
      <c r="K4" s="67"/>
      <c r="L4" s="67"/>
    </row>
    <row r="5" spans="1:15" x14ac:dyDescent="0.2">
      <c r="A5" s="67"/>
      <c r="B5" s="4" t="s">
        <v>66</v>
      </c>
      <c r="C5" s="4"/>
      <c r="D5" s="4"/>
      <c r="E5" s="4"/>
      <c r="F5" s="4" t="s">
        <v>84</v>
      </c>
      <c r="G5" s="4"/>
      <c r="H5" s="4"/>
      <c r="I5" s="4"/>
      <c r="J5" s="4" t="s">
        <v>83</v>
      </c>
      <c r="K5" s="4"/>
      <c r="L5" s="67"/>
    </row>
    <row r="6" spans="1:15" x14ac:dyDescent="0.2">
      <c r="A6" s="67"/>
      <c r="B6" s="67"/>
      <c r="C6" s="67"/>
      <c r="D6" s="67"/>
      <c r="E6" s="67"/>
      <c r="F6" s="67"/>
      <c r="G6" s="67"/>
      <c r="H6" s="67"/>
      <c r="I6" s="67"/>
      <c r="J6" s="67"/>
      <c r="K6" s="67"/>
      <c r="L6" s="67"/>
    </row>
    <row r="7" spans="1:15" x14ac:dyDescent="0.2">
      <c r="A7" s="67"/>
      <c r="B7" s="113" t="s">
        <v>33</v>
      </c>
      <c r="C7" s="67"/>
      <c r="D7" s="67"/>
      <c r="E7" s="67"/>
      <c r="F7" s="67"/>
      <c r="G7" s="67"/>
      <c r="H7" s="67"/>
      <c r="I7" s="67"/>
      <c r="J7" s="67"/>
      <c r="K7" s="67"/>
      <c r="L7" s="67"/>
    </row>
    <row r="8" spans="1:15" x14ac:dyDescent="0.2">
      <c r="A8" s="108"/>
      <c r="B8" s="105" t="s">
        <v>3</v>
      </c>
      <c r="C8" s="109" t="s">
        <v>69</v>
      </c>
      <c r="D8" s="108"/>
      <c r="E8" s="108"/>
      <c r="F8" s="108"/>
      <c r="G8" s="108"/>
      <c r="H8" s="108"/>
      <c r="I8" s="108"/>
      <c r="J8" s="108"/>
      <c r="K8" s="108"/>
      <c r="L8" s="108"/>
      <c r="M8" s="107"/>
      <c r="N8" s="107"/>
      <c r="O8" s="107"/>
    </row>
    <row r="9" spans="1:15" x14ac:dyDescent="0.2">
      <c r="A9" s="108"/>
      <c r="B9" s="105" t="s">
        <v>3</v>
      </c>
      <c r="C9" s="109" t="s">
        <v>52</v>
      </c>
      <c r="D9" s="108"/>
      <c r="E9" s="108"/>
      <c r="F9" s="108"/>
      <c r="G9" s="108"/>
      <c r="H9" s="108"/>
      <c r="I9" s="108"/>
      <c r="J9" s="108"/>
      <c r="K9" s="108"/>
      <c r="L9" s="108"/>
      <c r="M9" s="107"/>
      <c r="N9" s="107"/>
      <c r="O9" s="107"/>
    </row>
    <row r="10" spans="1:15" x14ac:dyDescent="0.2">
      <c r="A10" s="108"/>
      <c r="B10" s="105" t="s">
        <v>3</v>
      </c>
      <c r="C10" s="109" t="s">
        <v>53</v>
      </c>
      <c r="D10" s="108"/>
      <c r="E10" s="27"/>
      <c r="F10" s="27"/>
      <c r="G10" s="27"/>
      <c r="H10" s="27"/>
      <c r="I10" s="27"/>
      <c r="J10" s="27"/>
      <c r="K10" s="27"/>
      <c r="L10" s="108"/>
      <c r="M10" s="107"/>
      <c r="N10" s="107"/>
      <c r="O10" s="107"/>
    </row>
    <row r="11" spans="1:15" x14ac:dyDescent="0.2">
      <c r="A11" s="108"/>
      <c r="B11" s="105" t="s">
        <v>3</v>
      </c>
      <c r="C11" s="109" t="s">
        <v>54</v>
      </c>
      <c r="D11" s="108"/>
      <c r="E11" s="27"/>
      <c r="F11" s="27"/>
      <c r="G11" s="111"/>
      <c r="H11" s="111"/>
      <c r="I11" s="111"/>
      <c r="J11" s="111"/>
      <c r="K11" s="111"/>
      <c r="L11" s="108"/>
      <c r="M11" s="107"/>
      <c r="N11" s="107"/>
      <c r="O11" s="107"/>
    </row>
    <row r="12" spans="1:15" x14ac:dyDescent="0.2">
      <c r="A12" s="108"/>
      <c r="B12" s="105" t="s">
        <v>3</v>
      </c>
      <c r="C12" s="109" t="s">
        <v>55</v>
      </c>
      <c r="D12" s="108"/>
      <c r="E12" s="27"/>
      <c r="F12" s="27"/>
      <c r="G12" s="111"/>
      <c r="H12" s="111"/>
      <c r="I12" s="111"/>
      <c r="J12" s="111"/>
      <c r="K12" s="111"/>
      <c r="L12" s="108"/>
      <c r="M12" s="107"/>
      <c r="N12" s="107"/>
      <c r="O12" s="107"/>
    </row>
    <row r="13" spans="1:15" x14ac:dyDescent="0.2">
      <c r="A13" s="108"/>
      <c r="B13" s="105" t="s">
        <v>3</v>
      </c>
      <c r="C13" s="109" t="s">
        <v>56</v>
      </c>
      <c r="D13" s="67"/>
      <c r="E13" s="108"/>
      <c r="F13" s="108"/>
      <c r="G13" s="108"/>
      <c r="H13" s="108"/>
      <c r="I13" s="108"/>
      <c r="J13" s="108"/>
      <c r="K13" s="108"/>
      <c r="L13" s="108"/>
      <c r="M13" s="107"/>
      <c r="N13" s="107"/>
      <c r="O13" s="107"/>
    </row>
    <row r="14" spans="1:15" x14ac:dyDescent="0.2">
      <c r="A14" s="108"/>
      <c r="B14" s="105"/>
      <c r="C14" s="109"/>
      <c r="D14" s="108"/>
      <c r="E14" s="108"/>
      <c r="F14" s="108"/>
      <c r="G14" s="108"/>
      <c r="H14" s="108"/>
      <c r="I14" s="108"/>
      <c r="J14" s="108"/>
      <c r="K14" s="108"/>
      <c r="L14" s="108"/>
      <c r="M14" s="107"/>
      <c r="N14" s="107"/>
      <c r="O14" s="107"/>
    </row>
    <row r="15" spans="1:15" x14ac:dyDescent="0.2">
      <c r="A15" s="108"/>
      <c r="B15" s="112" t="s">
        <v>57</v>
      </c>
      <c r="C15" s="109"/>
      <c r="D15" s="108"/>
      <c r="E15" s="108"/>
      <c r="F15" s="108"/>
      <c r="G15" s="108"/>
      <c r="H15" s="108"/>
      <c r="I15" s="108"/>
      <c r="J15" s="108"/>
      <c r="K15" s="108"/>
      <c r="L15" s="108"/>
      <c r="M15" s="107"/>
      <c r="N15" s="107"/>
      <c r="O15" s="107"/>
    </row>
    <row r="16" spans="1:15" x14ac:dyDescent="0.2">
      <c r="A16" s="108"/>
      <c r="B16" s="115" t="s">
        <v>77</v>
      </c>
      <c r="C16" s="109" t="s">
        <v>58</v>
      </c>
      <c r="D16" s="108"/>
      <c r="E16" s="108"/>
      <c r="F16" s="108"/>
      <c r="G16" s="108"/>
      <c r="H16" s="108"/>
      <c r="I16" s="108"/>
      <c r="J16" s="108"/>
      <c r="K16" s="108"/>
      <c r="L16" s="108"/>
      <c r="M16" s="107"/>
      <c r="N16" s="107"/>
      <c r="O16" s="107"/>
    </row>
    <row r="17" spans="1:15" x14ac:dyDescent="0.2">
      <c r="A17" s="108"/>
      <c r="B17" s="115" t="s">
        <v>78</v>
      </c>
      <c r="C17" s="109" t="s">
        <v>63</v>
      </c>
      <c r="D17" s="108"/>
      <c r="E17" s="108"/>
      <c r="F17" s="108"/>
      <c r="G17" s="108"/>
      <c r="H17" s="108"/>
      <c r="I17" s="108"/>
      <c r="J17" s="108"/>
      <c r="K17" s="108"/>
      <c r="L17" s="108"/>
      <c r="M17" s="107"/>
      <c r="N17" s="107"/>
      <c r="O17" s="107"/>
    </row>
    <row r="18" spans="1:15" x14ac:dyDescent="0.2">
      <c r="A18" s="108"/>
      <c r="B18" s="45"/>
      <c r="C18" s="109"/>
      <c r="D18" s="108"/>
      <c r="E18" s="108"/>
      <c r="F18" s="108"/>
      <c r="G18" s="108"/>
      <c r="H18" s="108"/>
      <c r="I18" s="108"/>
      <c r="J18" s="108"/>
      <c r="K18" s="108"/>
      <c r="L18" s="108"/>
      <c r="M18" s="107"/>
      <c r="N18" s="107"/>
      <c r="O18" s="107"/>
    </row>
    <row r="19" spans="1:15" x14ac:dyDescent="0.2">
      <c r="A19" s="108"/>
      <c r="B19" s="113" t="s">
        <v>62</v>
      </c>
      <c r="C19" s="110"/>
      <c r="D19" s="108"/>
      <c r="E19" s="108"/>
      <c r="F19" s="108"/>
      <c r="G19" s="108"/>
      <c r="H19" s="108"/>
      <c r="I19" s="108"/>
      <c r="J19" s="108"/>
      <c r="K19" s="108"/>
      <c r="L19" s="108"/>
      <c r="M19" s="107"/>
      <c r="N19" s="107"/>
      <c r="O19" s="107"/>
    </row>
    <row r="20" spans="1:15" x14ac:dyDescent="0.2">
      <c r="A20" s="108"/>
      <c r="B20" s="105" t="s">
        <v>3</v>
      </c>
      <c r="C20" s="108" t="s">
        <v>59</v>
      </c>
      <c r="D20" s="108"/>
      <c r="E20" s="108"/>
      <c r="F20" s="108"/>
      <c r="G20" s="108"/>
      <c r="H20" s="108"/>
      <c r="I20" s="108"/>
      <c r="J20" s="108"/>
      <c r="K20" s="108"/>
      <c r="L20" s="108"/>
      <c r="M20" s="107"/>
      <c r="N20" s="107"/>
      <c r="O20" s="107"/>
    </row>
    <row r="21" spans="1:15" x14ac:dyDescent="0.2">
      <c r="A21" s="108"/>
      <c r="B21" s="105"/>
      <c r="C21" s="108" t="s">
        <v>61</v>
      </c>
      <c r="D21" s="108"/>
      <c r="E21" s="108"/>
      <c r="F21" s="108"/>
      <c r="G21" s="108"/>
      <c r="H21" s="108"/>
      <c r="I21" s="108"/>
      <c r="J21" s="108"/>
      <c r="K21" s="108"/>
      <c r="L21" s="108"/>
      <c r="M21" s="107"/>
      <c r="N21" s="107"/>
      <c r="O21" s="107"/>
    </row>
    <row r="22" spans="1:15" x14ac:dyDescent="0.2">
      <c r="A22" s="108"/>
      <c r="B22" s="105" t="s">
        <v>3</v>
      </c>
      <c r="C22" t="s">
        <v>64</v>
      </c>
      <c r="D22" s="108"/>
      <c r="E22" s="108"/>
      <c r="F22" s="108"/>
      <c r="G22" s="108"/>
      <c r="H22" s="108"/>
      <c r="I22" s="108"/>
      <c r="J22" s="108"/>
      <c r="K22" s="108"/>
      <c r="L22" s="108"/>
      <c r="M22" s="107"/>
      <c r="N22" s="107"/>
      <c r="O22" s="107"/>
    </row>
    <row r="23" spans="1:15" x14ac:dyDescent="0.2">
      <c r="A23" s="108"/>
      <c r="B23" s="105" t="s">
        <v>3</v>
      </c>
      <c r="C23" s="108" t="s">
        <v>60</v>
      </c>
      <c r="D23" s="108"/>
      <c r="E23" s="108"/>
      <c r="F23" s="108"/>
      <c r="G23" s="108"/>
      <c r="H23" s="108"/>
      <c r="I23" s="108"/>
      <c r="J23" s="108"/>
      <c r="K23" s="108"/>
      <c r="L23" s="108"/>
      <c r="M23" s="107"/>
      <c r="N23" s="107"/>
      <c r="O23" s="107"/>
    </row>
    <row r="24" spans="1:15" x14ac:dyDescent="0.2">
      <c r="A24" s="108"/>
      <c r="B24" s="105" t="s">
        <v>3</v>
      </c>
      <c r="C24" s="108" t="s">
        <v>67</v>
      </c>
      <c r="D24" s="108"/>
      <c r="E24" s="108"/>
      <c r="F24" s="108"/>
      <c r="G24" s="108"/>
      <c r="H24" s="108"/>
      <c r="I24" s="108"/>
      <c r="J24" s="108"/>
      <c r="K24" s="108"/>
      <c r="L24" s="108"/>
      <c r="M24" s="107"/>
      <c r="N24" s="107"/>
      <c r="O24" s="107"/>
    </row>
    <row r="25" spans="1:15" x14ac:dyDescent="0.2">
      <c r="A25" s="108"/>
      <c r="B25" s="108"/>
      <c r="C25" s="108"/>
      <c r="D25" s="108"/>
      <c r="E25" s="108"/>
      <c r="F25" s="108"/>
      <c r="G25" s="108"/>
      <c r="H25" s="108"/>
      <c r="I25" s="108"/>
      <c r="J25" s="108"/>
      <c r="K25" s="108"/>
      <c r="L25" s="108"/>
      <c r="M25" s="107"/>
      <c r="N25" s="107"/>
      <c r="O25" s="107"/>
    </row>
    <row r="26" spans="1:15" x14ac:dyDescent="0.2">
      <c r="A26" s="108"/>
      <c r="B26" s="67"/>
      <c r="C26" s="108"/>
      <c r="D26" s="108"/>
      <c r="E26" s="108"/>
      <c r="F26" s="108"/>
      <c r="G26" s="108"/>
      <c r="H26" s="108"/>
      <c r="I26" s="108"/>
      <c r="J26" s="108"/>
      <c r="K26" s="108"/>
      <c r="L26" s="108"/>
      <c r="M26" s="107"/>
      <c r="N26" s="107"/>
      <c r="O26" s="107"/>
    </row>
    <row r="27" spans="1:15" x14ac:dyDescent="0.2">
      <c r="A27" s="108"/>
      <c r="B27" s="108"/>
      <c r="C27" s="108"/>
      <c r="D27" s="108"/>
      <c r="E27" s="108"/>
      <c r="F27" s="108"/>
      <c r="G27" s="108"/>
      <c r="H27" s="108"/>
      <c r="I27" s="108"/>
      <c r="J27" s="108"/>
      <c r="K27" s="108"/>
      <c r="L27" s="108"/>
      <c r="M27" s="107"/>
      <c r="N27" s="107"/>
      <c r="O27" s="107"/>
    </row>
    <row r="28" spans="1:15" x14ac:dyDescent="0.2">
      <c r="A28" s="108"/>
      <c r="B28" s="108"/>
      <c r="C28" s="108"/>
      <c r="D28" s="108"/>
      <c r="E28" s="108"/>
      <c r="F28" s="108"/>
      <c r="G28" s="108"/>
      <c r="H28" s="108"/>
      <c r="I28" s="108"/>
      <c r="J28" s="108"/>
      <c r="K28" s="108"/>
      <c r="L28" s="108"/>
      <c r="M28" s="107"/>
      <c r="N28" s="107"/>
      <c r="O28" s="107"/>
    </row>
    <row r="29" spans="1:15" x14ac:dyDescent="0.2">
      <c r="A29" s="108"/>
      <c r="B29" s="108"/>
      <c r="C29" s="108"/>
      <c r="D29" s="108"/>
      <c r="E29" s="108"/>
      <c r="F29" s="108"/>
      <c r="G29" s="108"/>
      <c r="H29" s="108"/>
      <c r="I29" s="108"/>
      <c r="J29" s="108"/>
      <c r="K29" s="108"/>
      <c r="L29" s="108"/>
      <c r="M29" s="107"/>
      <c r="N29" s="107"/>
      <c r="O29" s="107"/>
    </row>
    <row r="30" spans="1:15" x14ac:dyDescent="0.2">
      <c r="A30" s="67"/>
      <c r="B30" s="67"/>
      <c r="C30" s="67"/>
      <c r="D30" s="67"/>
      <c r="E30" s="67"/>
      <c r="F30" s="67"/>
      <c r="G30" s="67"/>
      <c r="H30" s="67"/>
      <c r="I30" s="67"/>
      <c r="J30" s="67"/>
      <c r="K30" s="67"/>
      <c r="L30" s="67"/>
    </row>
    <row r="31" spans="1:15" x14ac:dyDescent="0.2">
      <c r="A31" s="67"/>
      <c r="B31" s="67"/>
      <c r="C31" s="67"/>
      <c r="D31" s="67"/>
      <c r="E31" s="67"/>
      <c r="F31" s="67"/>
      <c r="G31" s="67"/>
      <c r="H31" s="67"/>
      <c r="I31" s="67"/>
      <c r="J31" s="67"/>
      <c r="K31" s="67"/>
      <c r="L31" s="67"/>
    </row>
    <row r="32" spans="1:15" x14ac:dyDescent="0.2">
      <c r="A32" s="67"/>
      <c r="B32" s="67"/>
      <c r="C32" s="67"/>
      <c r="D32" s="67"/>
      <c r="E32" s="67"/>
      <c r="F32" s="67"/>
      <c r="G32" s="67"/>
      <c r="H32" s="67"/>
      <c r="I32" s="67"/>
      <c r="J32" s="67"/>
      <c r="K32" s="67"/>
      <c r="L32" s="67"/>
    </row>
    <row r="33" spans="1:12" x14ac:dyDescent="0.2">
      <c r="A33" s="67"/>
      <c r="B33" s="67"/>
      <c r="C33" s="67"/>
      <c r="D33" s="67"/>
      <c r="E33" s="67"/>
      <c r="F33" s="67"/>
      <c r="G33" s="67"/>
      <c r="H33" s="67"/>
      <c r="I33" s="67"/>
      <c r="J33" s="67"/>
      <c r="K33" s="67"/>
      <c r="L33" s="67"/>
    </row>
    <row r="34" spans="1:12" x14ac:dyDescent="0.2">
      <c r="A34" s="67"/>
      <c r="B34" s="67"/>
      <c r="C34" s="67"/>
      <c r="D34" s="67"/>
      <c r="E34" s="67"/>
      <c r="F34" s="67"/>
      <c r="G34" s="67"/>
      <c r="H34" s="67"/>
      <c r="I34" s="67"/>
      <c r="J34" s="67"/>
      <c r="K34" s="67"/>
      <c r="L34" s="67"/>
    </row>
    <row r="35" spans="1:12" x14ac:dyDescent="0.2">
      <c r="A35" s="67"/>
      <c r="B35" s="67"/>
      <c r="C35" s="67"/>
      <c r="D35" s="67"/>
      <c r="E35" s="67"/>
      <c r="F35" s="67"/>
      <c r="G35" s="67"/>
      <c r="H35" s="67"/>
      <c r="I35" s="67"/>
      <c r="J35" s="67"/>
      <c r="K35" s="67"/>
      <c r="L35" s="67"/>
    </row>
    <row r="36" spans="1:12" x14ac:dyDescent="0.2">
      <c r="A36" s="10"/>
      <c r="B36" s="10"/>
      <c r="C36" s="10"/>
      <c r="D36" s="10"/>
      <c r="E36" s="10"/>
      <c r="F36" s="10"/>
      <c r="G36" s="10"/>
      <c r="H36" s="10"/>
      <c r="I36" s="10"/>
      <c r="J36" s="10"/>
      <c r="K36" s="10"/>
      <c r="L36" s="10"/>
    </row>
    <row r="37" spans="1:12" x14ac:dyDescent="0.2">
      <c r="A37" s="114"/>
      <c r="B37" s="114"/>
      <c r="C37" s="114"/>
      <c r="D37" s="114"/>
      <c r="E37" s="114"/>
      <c r="F37" s="114"/>
      <c r="G37" s="114"/>
      <c r="H37" s="114"/>
      <c r="I37" s="114"/>
      <c r="J37" s="114"/>
      <c r="K37" s="114"/>
      <c r="L37" s="114"/>
    </row>
    <row r="38" spans="1:12" x14ac:dyDescent="0.2">
      <c r="A38" s="67"/>
      <c r="B38" s="67"/>
      <c r="C38" s="67"/>
      <c r="D38" s="67"/>
      <c r="E38" s="67"/>
      <c r="F38" s="67"/>
      <c r="G38" s="67"/>
      <c r="H38" s="67"/>
      <c r="I38" s="67"/>
      <c r="J38" s="67"/>
      <c r="K38" s="67"/>
      <c r="L38" s="67"/>
    </row>
    <row r="39" spans="1:12" x14ac:dyDescent="0.2">
      <c r="A39" s="67"/>
      <c r="B39" s="482" t="s">
        <v>51</v>
      </c>
      <c r="C39" s="482"/>
      <c r="D39" s="482"/>
      <c r="E39" s="482"/>
      <c r="F39" s="482"/>
      <c r="G39" s="482"/>
      <c r="H39" s="482"/>
      <c r="I39" s="482"/>
      <c r="J39" s="482"/>
      <c r="K39" s="482"/>
      <c r="L39" s="67"/>
    </row>
    <row r="40" spans="1:12" x14ac:dyDescent="0.2">
      <c r="A40" s="67"/>
      <c r="B40" s="482"/>
      <c r="C40" s="482"/>
      <c r="D40" s="482"/>
      <c r="E40" s="482"/>
      <c r="F40" s="482"/>
      <c r="G40" s="482"/>
      <c r="H40" s="482"/>
      <c r="I40" s="482"/>
      <c r="J40" s="482"/>
      <c r="K40" s="482"/>
      <c r="L40" s="67"/>
    </row>
    <row r="41" spans="1:12" s="171" customFormat="1" ht="14" x14ac:dyDescent="0.2">
      <c r="A41" s="172"/>
      <c r="B41" s="173" t="s">
        <v>246</v>
      </c>
      <c r="C41" s="181"/>
      <c r="D41" s="181"/>
      <c r="E41" s="181"/>
      <c r="F41" s="181"/>
      <c r="G41" s="181"/>
      <c r="H41" s="181"/>
      <c r="I41" s="181"/>
      <c r="J41" s="181"/>
      <c r="K41" s="181"/>
      <c r="L41" s="172"/>
    </row>
    <row r="42" spans="1:12" x14ac:dyDescent="0.2">
      <c r="A42" s="67"/>
      <c r="B42" s="481" t="s">
        <v>72</v>
      </c>
      <c r="C42" s="481"/>
      <c r="D42" s="481"/>
      <c r="E42" s="481"/>
      <c r="F42" s="481"/>
      <c r="G42" s="481"/>
      <c r="H42" s="481"/>
      <c r="I42" s="481"/>
      <c r="J42" s="481"/>
      <c r="K42" s="481"/>
      <c r="L42" s="67"/>
    </row>
    <row r="43" spans="1:12" x14ac:dyDescent="0.2">
      <c r="A43" s="67"/>
      <c r="B43" s="67"/>
      <c r="C43" s="67"/>
      <c r="D43" s="67"/>
      <c r="E43" s="67"/>
      <c r="F43" s="67"/>
      <c r="G43" s="67"/>
      <c r="H43" s="67"/>
      <c r="I43" s="67"/>
      <c r="J43" s="67"/>
      <c r="K43" s="67"/>
      <c r="L43" s="67"/>
    </row>
    <row r="44" spans="1:12" x14ac:dyDescent="0.2">
      <c r="A44" s="67"/>
      <c r="B44" s="4" t="s">
        <v>66</v>
      </c>
      <c r="C44" s="4"/>
      <c r="D44" s="4"/>
      <c r="E44" s="4"/>
      <c r="F44" s="4" t="s">
        <v>82</v>
      </c>
      <c r="G44" s="4"/>
      <c r="H44" s="4"/>
      <c r="I44" s="4"/>
      <c r="J44" s="4" t="s">
        <v>68</v>
      </c>
      <c r="K44" s="4"/>
      <c r="L44" s="67"/>
    </row>
    <row r="45" spans="1:12" x14ac:dyDescent="0.2">
      <c r="A45" s="67"/>
      <c r="B45" s="67"/>
      <c r="C45" s="67"/>
      <c r="D45" s="67"/>
      <c r="E45" s="67"/>
      <c r="F45" s="67"/>
      <c r="G45" s="67"/>
      <c r="H45" s="67"/>
      <c r="I45" s="67"/>
      <c r="J45" s="67"/>
      <c r="K45" s="67"/>
      <c r="L45" s="67"/>
    </row>
    <row r="46" spans="1:12" x14ac:dyDescent="0.2">
      <c r="A46" s="67"/>
      <c r="B46" s="113" t="s">
        <v>33</v>
      </c>
      <c r="C46" s="67"/>
      <c r="D46" s="67"/>
      <c r="E46" s="67"/>
      <c r="F46" s="67"/>
      <c r="G46" s="67"/>
      <c r="H46" s="67"/>
      <c r="I46" s="67"/>
      <c r="J46" s="67"/>
      <c r="K46" s="67"/>
      <c r="L46" s="67"/>
    </row>
    <row r="47" spans="1:12" x14ac:dyDescent="0.2">
      <c r="A47" s="67"/>
      <c r="B47" s="105" t="s">
        <v>3</v>
      </c>
      <c r="C47" s="109" t="s">
        <v>69</v>
      </c>
      <c r="D47" s="67"/>
      <c r="E47" s="67"/>
      <c r="F47" s="67"/>
      <c r="G47" s="67"/>
      <c r="H47" s="67"/>
      <c r="I47" s="67"/>
      <c r="J47" s="67"/>
      <c r="K47" s="67"/>
      <c r="L47" s="67"/>
    </row>
    <row r="48" spans="1:12" x14ac:dyDescent="0.2">
      <c r="A48" s="67"/>
      <c r="B48" s="105" t="s">
        <v>3</v>
      </c>
      <c r="C48" s="67" t="s">
        <v>70</v>
      </c>
      <c r="D48" s="67"/>
      <c r="E48" s="67"/>
      <c r="F48" s="67"/>
      <c r="G48" s="67"/>
      <c r="H48" s="67"/>
      <c r="I48" s="67"/>
      <c r="J48" s="67"/>
      <c r="K48" s="67"/>
      <c r="L48" s="67"/>
    </row>
    <row r="49" spans="1:12" x14ac:dyDescent="0.2">
      <c r="A49" s="67"/>
      <c r="B49" s="105" t="s">
        <v>3</v>
      </c>
      <c r="C49" s="67" t="s">
        <v>71</v>
      </c>
      <c r="D49" s="67"/>
      <c r="E49" s="67"/>
      <c r="F49" s="67"/>
      <c r="G49" s="67"/>
      <c r="H49" s="67"/>
      <c r="I49" s="67"/>
      <c r="J49" s="67"/>
      <c r="K49" s="67"/>
      <c r="L49" s="67"/>
    </row>
    <row r="50" spans="1:12" x14ac:dyDescent="0.2">
      <c r="A50" s="67"/>
      <c r="B50" s="105" t="s">
        <v>3</v>
      </c>
      <c r="C50" s="67" t="s">
        <v>73</v>
      </c>
      <c r="D50" s="67"/>
      <c r="E50" s="67"/>
      <c r="F50" s="67"/>
      <c r="G50" s="67"/>
      <c r="H50" s="67"/>
      <c r="I50" s="67"/>
      <c r="J50" s="67"/>
      <c r="K50" s="67"/>
      <c r="L50" s="67"/>
    </row>
    <row r="51" spans="1:12" x14ac:dyDescent="0.2">
      <c r="A51" s="67"/>
      <c r="B51" s="105" t="s">
        <v>3</v>
      </c>
      <c r="C51" s="67" t="s">
        <v>74</v>
      </c>
      <c r="D51" s="67"/>
      <c r="E51" s="67"/>
      <c r="F51" s="67"/>
      <c r="G51" s="67"/>
      <c r="H51" s="67"/>
      <c r="I51" s="67"/>
      <c r="J51" s="67"/>
      <c r="K51" s="67"/>
      <c r="L51" s="67"/>
    </row>
    <row r="52" spans="1:12" x14ac:dyDescent="0.2">
      <c r="A52" s="67"/>
      <c r="B52" s="105" t="s">
        <v>3</v>
      </c>
      <c r="C52" s="67" t="s">
        <v>75</v>
      </c>
      <c r="D52" s="67"/>
      <c r="E52" s="67"/>
      <c r="F52" s="67"/>
      <c r="G52" s="67"/>
      <c r="H52" s="67"/>
      <c r="I52" s="67"/>
      <c r="J52" s="67"/>
      <c r="K52" s="67"/>
      <c r="L52" s="67"/>
    </row>
    <row r="53" spans="1:12" x14ac:dyDescent="0.2">
      <c r="A53" s="67"/>
      <c r="B53" s="105" t="s">
        <v>3</v>
      </c>
      <c r="C53" s="67" t="s">
        <v>76</v>
      </c>
      <c r="D53" s="67"/>
      <c r="E53" s="67"/>
      <c r="F53" s="67"/>
      <c r="G53" s="67"/>
      <c r="H53" s="67"/>
      <c r="I53" s="67"/>
      <c r="J53" s="67"/>
      <c r="K53" s="67"/>
      <c r="L53" s="67"/>
    </row>
    <row r="54" spans="1:12" x14ac:dyDescent="0.2">
      <c r="A54" s="67"/>
      <c r="B54" s="105" t="s">
        <v>3</v>
      </c>
      <c r="C54" s="67" t="s">
        <v>85</v>
      </c>
      <c r="D54" s="67"/>
      <c r="E54" s="67"/>
      <c r="F54" s="67"/>
      <c r="G54" s="67"/>
      <c r="H54" s="67"/>
      <c r="I54" s="67"/>
      <c r="J54" s="67"/>
      <c r="K54" s="67"/>
      <c r="L54" s="67"/>
    </row>
    <row r="55" spans="1:12" x14ac:dyDescent="0.2">
      <c r="A55" s="67"/>
      <c r="B55" s="105" t="s">
        <v>3</v>
      </c>
      <c r="C55" s="67" t="s">
        <v>97</v>
      </c>
      <c r="D55" s="67"/>
      <c r="E55" s="67"/>
      <c r="F55" s="67"/>
      <c r="G55" s="67"/>
      <c r="H55" s="67"/>
      <c r="I55" s="67"/>
      <c r="J55" s="67"/>
      <c r="K55" s="67"/>
      <c r="L55" s="67"/>
    </row>
    <row r="56" spans="1:12" x14ac:dyDescent="0.2">
      <c r="A56" s="67"/>
      <c r="B56" s="67"/>
      <c r="C56" s="67"/>
      <c r="D56" s="67"/>
      <c r="E56" s="67"/>
      <c r="F56" s="67"/>
      <c r="G56" s="67"/>
      <c r="H56" s="67"/>
      <c r="I56" s="67"/>
      <c r="J56" s="67"/>
      <c r="K56" s="67"/>
      <c r="L56" s="67"/>
    </row>
    <row r="57" spans="1:12" x14ac:dyDescent="0.2">
      <c r="A57" s="67"/>
      <c r="B57" s="112" t="s">
        <v>57</v>
      </c>
      <c r="C57" s="67"/>
      <c r="D57" s="67"/>
      <c r="E57" s="67"/>
      <c r="F57" s="67"/>
      <c r="G57" s="67"/>
      <c r="H57" s="67"/>
      <c r="I57" s="67"/>
      <c r="J57" s="67"/>
      <c r="K57" s="67"/>
      <c r="L57" s="67"/>
    </row>
    <row r="58" spans="1:12" x14ac:dyDescent="0.2">
      <c r="A58" s="67"/>
      <c r="B58" s="116" t="s">
        <v>77</v>
      </c>
      <c r="C58" s="67" t="s">
        <v>94</v>
      </c>
      <c r="D58" s="67"/>
      <c r="E58" s="67"/>
      <c r="F58" s="67"/>
      <c r="G58" s="67"/>
      <c r="H58" s="67"/>
      <c r="I58" s="67"/>
      <c r="J58" s="67"/>
      <c r="K58" s="67"/>
      <c r="L58" s="67"/>
    </row>
    <row r="59" spans="1:12" x14ac:dyDescent="0.2">
      <c r="A59" s="67"/>
      <c r="B59" s="67"/>
      <c r="C59" s="67" t="s">
        <v>86</v>
      </c>
      <c r="D59" s="67"/>
      <c r="E59" s="67"/>
      <c r="F59" s="67"/>
      <c r="G59" s="67"/>
      <c r="H59" s="67"/>
      <c r="I59" s="67"/>
      <c r="J59" s="67"/>
      <c r="K59" s="67"/>
      <c r="L59" s="67"/>
    </row>
    <row r="60" spans="1:12" x14ac:dyDescent="0.2">
      <c r="A60" s="67"/>
      <c r="B60" s="116"/>
      <c r="C60" s="67" t="s">
        <v>87</v>
      </c>
      <c r="D60" s="67"/>
      <c r="E60" s="67"/>
      <c r="F60" s="67"/>
      <c r="G60" s="67"/>
      <c r="H60" s="67"/>
      <c r="I60" s="67"/>
      <c r="J60" s="67"/>
      <c r="K60" s="67"/>
      <c r="L60" s="67"/>
    </row>
    <row r="61" spans="1:12" x14ac:dyDescent="0.2">
      <c r="A61" s="67"/>
      <c r="B61" s="117" t="s">
        <v>78</v>
      </c>
      <c r="C61" s="67" t="s">
        <v>88</v>
      </c>
      <c r="D61" s="67"/>
      <c r="E61" s="67"/>
      <c r="F61" s="67"/>
      <c r="G61" s="67"/>
      <c r="H61" s="67"/>
      <c r="I61" s="67"/>
      <c r="J61" s="67"/>
      <c r="K61" s="67"/>
      <c r="L61" s="67"/>
    </row>
    <row r="62" spans="1:12" x14ac:dyDescent="0.2">
      <c r="A62" s="67"/>
      <c r="B62" s="117" t="s">
        <v>79</v>
      </c>
      <c r="C62" s="67" t="s">
        <v>89</v>
      </c>
      <c r="D62" s="67"/>
      <c r="E62" s="67"/>
      <c r="F62" s="67"/>
      <c r="G62" s="67"/>
      <c r="H62" s="67"/>
      <c r="I62" s="67"/>
      <c r="J62" s="67"/>
      <c r="K62" s="67"/>
      <c r="L62" s="67"/>
    </row>
    <row r="63" spans="1:12" x14ac:dyDescent="0.2">
      <c r="A63" s="67"/>
      <c r="B63" s="118" t="s">
        <v>80</v>
      </c>
      <c r="C63" s="67" t="s">
        <v>90</v>
      </c>
      <c r="D63" s="67"/>
      <c r="E63" s="67"/>
      <c r="F63" s="67"/>
      <c r="G63" s="67"/>
      <c r="H63" s="67"/>
      <c r="I63" s="67"/>
      <c r="J63" s="67"/>
      <c r="K63" s="67"/>
      <c r="L63" s="67"/>
    </row>
    <row r="64" spans="1:12" x14ac:dyDescent="0.2">
      <c r="A64" s="67"/>
      <c r="B64" s="67"/>
      <c r="C64" s="67" t="s">
        <v>91</v>
      </c>
      <c r="D64" s="67"/>
      <c r="E64" s="67"/>
      <c r="F64" s="67"/>
      <c r="G64" s="67"/>
      <c r="H64" s="67"/>
      <c r="I64" s="67"/>
      <c r="J64" s="67"/>
      <c r="K64" s="67"/>
      <c r="L64" s="67"/>
    </row>
    <row r="65" spans="1:12" x14ac:dyDescent="0.2">
      <c r="A65" s="67"/>
      <c r="B65" s="118" t="s">
        <v>81</v>
      </c>
      <c r="C65" s="67" t="s">
        <v>92</v>
      </c>
      <c r="D65" s="67"/>
      <c r="E65" s="67"/>
      <c r="F65" s="67"/>
      <c r="G65" s="67"/>
      <c r="H65" s="67"/>
      <c r="I65" s="67"/>
      <c r="J65" s="67"/>
      <c r="K65" s="67"/>
      <c r="L65" s="67"/>
    </row>
    <row r="66" spans="1:12" x14ac:dyDescent="0.2">
      <c r="A66" s="67"/>
      <c r="B66" s="67"/>
      <c r="C66" s="67" t="s">
        <v>93</v>
      </c>
      <c r="D66" s="67"/>
      <c r="E66" s="67"/>
      <c r="F66" s="67"/>
      <c r="G66" s="67"/>
      <c r="H66" s="67"/>
      <c r="I66" s="67"/>
      <c r="J66" s="67"/>
      <c r="K66" s="67"/>
      <c r="L66" s="67"/>
    </row>
    <row r="67" spans="1:12" x14ac:dyDescent="0.2">
      <c r="A67" s="67"/>
      <c r="B67" s="67"/>
      <c r="C67" s="67"/>
      <c r="D67" s="67"/>
      <c r="E67" s="67"/>
      <c r="F67" s="67"/>
      <c r="G67" s="67"/>
      <c r="H67" s="67"/>
      <c r="I67" s="67"/>
      <c r="J67" s="67"/>
      <c r="K67" s="67"/>
      <c r="L67" s="67"/>
    </row>
    <row r="68" spans="1:12" x14ac:dyDescent="0.2">
      <c r="A68" s="67"/>
      <c r="B68" s="113" t="s">
        <v>62</v>
      </c>
      <c r="C68" s="67"/>
      <c r="D68" s="67"/>
      <c r="E68" s="67"/>
      <c r="F68" s="67"/>
      <c r="G68" s="67"/>
      <c r="H68" s="67"/>
      <c r="I68" s="67"/>
      <c r="J68" s="67"/>
      <c r="K68" s="67"/>
      <c r="L68" s="67"/>
    </row>
    <row r="69" spans="1:12" x14ac:dyDescent="0.2">
      <c r="A69" s="67"/>
      <c r="B69" s="105" t="s">
        <v>3</v>
      </c>
      <c r="C69" s="67" t="s">
        <v>95</v>
      </c>
      <c r="D69" s="67"/>
      <c r="E69" s="67"/>
      <c r="F69" s="67"/>
      <c r="G69" s="67"/>
      <c r="H69" s="67"/>
      <c r="I69" s="67"/>
      <c r="J69" s="67"/>
      <c r="K69" s="67"/>
      <c r="L69" s="67"/>
    </row>
    <row r="70" spans="1:12" x14ac:dyDescent="0.2">
      <c r="A70" s="67"/>
      <c r="B70" s="67"/>
      <c r="C70" s="67"/>
      <c r="D70" s="67"/>
      <c r="E70" s="67"/>
      <c r="F70" s="67"/>
      <c r="G70" s="67"/>
      <c r="H70" s="67"/>
      <c r="I70" s="67"/>
      <c r="J70" s="67"/>
      <c r="K70" s="67"/>
      <c r="L70" s="67"/>
    </row>
    <row r="71" spans="1:12" x14ac:dyDescent="0.2">
      <c r="A71" s="67"/>
      <c r="B71" s="67"/>
      <c r="C71" s="67"/>
      <c r="D71" s="67"/>
      <c r="E71" s="67"/>
      <c r="F71" s="67"/>
      <c r="G71" s="67"/>
      <c r="H71" s="67"/>
      <c r="I71" s="67"/>
      <c r="J71" s="67"/>
      <c r="K71" s="67"/>
      <c r="L71" s="67"/>
    </row>
    <row r="72" spans="1:12" x14ac:dyDescent="0.2">
      <c r="A72" s="67"/>
      <c r="B72" s="67"/>
      <c r="C72" s="67"/>
      <c r="D72" s="67"/>
      <c r="E72" s="67"/>
      <c r="F72" s="67"/>
      <c r="G72" s="67"/>
      <c r="H72" s="67"/>
      <c r="I72" s="67"/>
      <c r="J72" s="67"/>
      <c r="K72" s="67"/>
      <c r="L72" s="67"/>
    </row>
    <row r="73" spans="1:12" x14ac:dyDescent="0.2">
      <c r="A73" s="67"/>
      <c r="B73" s="67"/>
      <c r="C73" s="67"/>
      <c r="D73" s="67"/>
      <c r="E73" s="67"/>
      <c r="F73" s="67"/>
      <c r="G73" s="67"/>
      <c r="H73" s="67"/>
      <c r="I73" s="67"/>
      <c r="J73" s="67"/>
      <c r="K73" s="67"/>
      <c r="L73" s="67"/>
    </row>
    <row r="74" spans="1:12" x14ac:dyDescent="0.2">
      <c r="A74" s="67"/>
      <c r="B74" s="67"/>
      <c r="C74" s="67"/>
      <c r="D74" s="67"/>
      <c r="E74" s="67"/>
      <c r="F74" s="67"/>
      <c r="G74" s="67"/>
      <c r="H74" s="67"/>
      <c r="I74" s="67"/>
      <c r="J74" s="67"/>
      <c r="K74" s="67"/>
      <c r="L74" s="67"/>
    </row>
    <row r="75" spans="1:12" x14ac:dyDescent="0.2">
      <c r="A75" s="67"/>
      <c r="B75" s="67"/>
      <c r="C75" s="67"/>
      <c r="D75" s="67"/>
      <c r="E75" s="67"/>
      <c r="F75" s="67"/>
      <c r="G75" s="67"/>
      <c r="H75" s="67"/>
      <c r="I75" s="67"/>
      <c r="J75" s="67"/>
      <c r="K75" s="67"/>
      <c r="L75" s="67"/>
    </row>
    <row r="76" spans="1:12" x14ac:dyDescent="0.2">
      <c r="A76" s="67"/>
      <c r="B76" s="67"/>
      <c r="C76" s="67"/>
      <c r="D76" s="67"/>
      <c r="E76" s="67"/>
      <c r="F76" s="67"/>
      <c r="G76" s="67"/>
      <c r="H76" s="67"/>
      <c r="I76" s="67"/>
      <c r="J76" s="67"/>
      <c r="K76" s="67"/>
      <c r="L76" s="67"/>
    </row>
    <row r="77" spans="1:12" x14ac:dyDescent="0.2">
      <c r="A77" s="67"/>
      <c r="B77" s="67"/>
      <c r="C77" s="67"/>
      <c r="D77" s="67"/>
      <c r="E77" s="67"/>
      <c r="F77" s="67"/>
      <c r="G77" s="67"/>
      <c r="H77" s="67"/>
      <c r="I77" s="67"/>
      <c r="J77" s="67"/>
      <c r="K77" s="67"/>
      <c r="L77" s="67"/>
    </row>
    <row r="78" spans="1:12" x14ac:dyDescent="0.2">
      <c r="A78" s="67"/>
      <c r="B78" s="67"/>
      <c r="C78" s="67"/>
      <c r="D78" s="67"/>
      <c r="E78" s="67"/>
      <c r="F78" s="67"/>
      <c r="G78" s="67"/>
      <c r="H78" s="67"/>
      <c r="I78" s="67"/>
      <c r="J78" s="67"/>
      <c r="K78" s="67"/>
      <c r="L78" s="67"/>
    </row>
    <row r="79" spans="1:12" x14ac:dyDescent="0.2">
      <c r="A79" s="67"/>
      <c r="B79" s="67"/>
      <c r="C79" s="67"/>
      <c r="D79" s="67"/>
      <c r="E79" s="67"/>
      <c r="F79" s="67"/>
      <c r="G79" s="67"/>
      <c r="H79" s="67"/>
      <c r="I79" s="67"/>
      <c r="J79" s="67"/>
      <c r="K79" s="67"/>
      <c r="L79" s="67"/>
    </row>
    <row r="80" spans="1:12" x14ac:dyDescent="0.2">
      <c r="A80" s="67"/>
      <c r="B80" s="67"/>
      <c r="C80" s="67"/>
      <c r="D80" s="67"/>
      <c r="E80" s="67"/>
      <c r="F80" s="67"/>
      <c r="G80" s="67"/>
      <c r="H80" s="67"/>
      <c r="I80" s="67"/>
      <c r="J80" s="67"/>
      <c r="K80" s="67"/>
      <c r="L80" s="67"/>
    </row>
    <row r="81" spans="1:12" x14ac:dyDescent="0.2">
      <c r="A81" s="67"/>
      <c r="B81" s="67"/>
      <c r="C81" s="67"/>
      <c r="D81" s="67"/>
      <c r="E81" s="67"/>
      <c r="F81" s="67"/>
      <c r="G81" s="67"/>
      <c r="H81" s="67"/>
      <c r="I81" s="67"/>
      <c r="J81" s="67"/>
      <c r="K81" s="67"/>
      <c r="L81" s="67"/>
    </row>
    <row r="82" spans="1:12" x14ac:dyDescent="0.2">
      <c r="A82" s="67"/>
      <c r="B82" s="67"/>
      <c r="C82" s="67"/>
      <c r="D82" s="67"/>
      <c r="E82" s="67"/>
      <c r="F82" s="67"/>
      <c r="G82" s="67"/>
      <c r="H82" s="67"/>
      <c r="I82" s="67"/>
      <c r="J82" s="67"/>
      <c r="K82" s="67"/>
      <c r="L82" s="67"/>
    </row>
    <row r="83" spans="1:12" x14ac:dyDescent="0.2">
      <c r="A83" s="67"/>
      <c r="B83" s="67"/>
      <c r="C83" s="67"/>
      <c r="D83" s="67"/>
      <c r="E83" s="67"/>
      <c r="F83" s="67"/>
      <c r="G83" s="67"/>
      <c r="H83" s="67"/>
      <c r="I83" s="67"/>
      <c r="J83" s="67"/>
      <c r="K83" s="67"/>
      <c r="L83" s="67"/>
    </row>
    <row r="84" spans="1:12" x14ac:dyDescent="0.2">
      <c r="A84" s="67"/>
      <c r="B84" s="67"/>
      <c r="C84" s="67"/>
      <c r="D84" s="67"/>
      <c r="E84" s="67"/>
      <c r="F84" s="67"/>
      <c r="G84" s="67"/>
      <c r="H84" s="67"/>
      <c r="I84" s="67"/>
      <c r="J84" s="67"/>
      <c r="K84" s="67"/>
      <c r="L84" s="67"/>
    </row>
    <row r="85" spans="1:12" x14ac:dyDescent="0.2">
      <c r="A85" s="67"/>
      <c r="B85" s="67"/>
      <c r="C85" s="67"/>
      <c r="D85" s="67"/>
      <c r="E85" s="67"/>
      <c r="F85" s="67"/>
      <c r="G85" s="67"/>
      <c r="H85" s="67"/>
      <c r="I85" s="67"/>
      <c r="J85" s="67"/>
      <c r="K85" s="67"/>
      <c r="L85" s="67"/>
    </row>
    <row r="86" spans="1:12" x14ac:dyDescent="0.2">
      <c r="A86" s="67"/>
      <c r="B86" s="67"/>
      <c r="C86" s="67"/>
      <c r="D86" s="67"/>
      <c r="E86" s="67"/>
      <c r="F86" s="67"/>
      <c r="G86" s="67"/>
      <c r="H86" s="67"/>
      <c r="I86" s="67"/>
      <c r="J86" s="67"/>
      <c r="K86" s="67"/>
      <c r="L86" s="67"/>
    </row>
    <row r="87" spans="1:12" x14ac:dyDescent="0.2">
      <c r="A87" s="67"/>
      <c r="B87" s="67"/>
      <c r="C87" s="67"/>
      <c r="D87" s="67"/>
      <c r="E87" s="67"/>
      <c r="F87" s="67"/>
      <c r="G87" s="67"/>
      <c r="H87" s="67"/>
      <c r="I87" s="67"/>
      <c r="J87" s="67"/>
      <c r="K87" s="67"/>
      <c r="L87" s="67"/>
    </row>
    <row r="88" spans="1:12" x14ac:dyDescent="0.2">
      <c r="A88" s="67"/>
      <c r="B88" s="67"/>
      <c r="C88" s="67"/>
      <c r="D88" s="67"/>
      <c r="E88" s="67"/>
      <c r="F88" s="67"/>
      <c r="G88" s="67"/>
      <c r="H88" s="67"/>
      <c r="I88" s="67"/>
      <c r="J88" s="67"/>
      <c r="K88" s="67"/>
      <c r="L88" s="67"/>
    </row>
    <row r="89" spans="1:12" x14ac:dyDescent="0.2">
      <c r="A89" s="67"/>
      <c r="B89" s="67"/>
      <c r="C89" s="67"/>
      <c r="D89" s="67"/>
      <c r="E89" s="67"/>
      <c r="F89" s="67"/>
      <c r="G89" s="67"/>
      <c r="H89" s="67"/>
      <c r="I89" s="67"/>
      <c r="J89" s="67"/>
      <c r="K89" s="67"/>
      <c r="L89" s="67"/>
    </row>
    <row r="90" spans="1:12" x14ac:dyDescent="0.2">
      <c r="A90" s="67"/>
      <c r="B90" s="67"/>
      <c r="C90" s="67"/>
      <c r="D90" s="67"/>
      <c r="E90" s="67"/>
      <c r="F90" s="67"/>
      <c r="G90" s="67"/>
      <c r="H90" s="67"/>
      <c r="I90" s="67"/>
      <c r="J90" s="67"/>
      <c r="K90" s="67"/>
      <c r="L90" s="67"/>
    </row>
    <row r="91" spans="1:12" x14ac:dyDescent="0.2">
      <c r="A91" s="67"/>
      <c r="B91" s="67"/>
      <c r="C91" s="67"/>
      <c r="D91" s="67"/>
      <c r="E91" s="67"/>
      <c r="F91" s="67"/>
      <c r="G91" s="67"/>
      <c r="H91" s="67"/>
      <c r="I91" s="67"/>
      <c r="J91" s="67"/>
      <c r="K91" s="67"/>
      <c r="L91" s="67"/>
    </row>
    <row r="92" spans="1:12" x14ac:dyDescent="0.2">
      <c r="A92" s="67"/>
      <c r="B92" s="67"/>
      <c r="C92" s="67"/>
      <c r="D92" s="67"/>
      <c r="E92" s="67"/>
      <c r="F92" s="67"/>
      <c r="G92" s="67"/>
      <c r="H92" s="67"/>
      <c r="I92" s="67"/>
      <c r="J92" s="67"/>
      <c r="K92" s="67"/>
      <c r="L92" s="67"/>
    </row>
    <row r="93" spans="1:12" x14ac:dyDescent="0.2">
      <c r="A93" s="67"/>
      <c r="B93" s="67"/>
      <c r="C93" s="67"/>
      <c r="D93" s="67"/>
      <c r="E93" s="67"/>
      <c r="F93" s="67"/>
      <c r="G93" s="67"/>
      <c r="H93" s="67"/>
      <c r="I93" s="67"/>
      <c r="J93" s="67"/>
      <c r="K93" s="67"/>
      <c r="L93" s="67"/>
    </row>
    <row r="94" spans="1:12" x14ac:dyDescent="0.2">
      <c r="A94" s="67"/>
      <c r="B94" s="67"/>
      <c r="C94" s="67"/>
      <c r="D94" s="67"/>
      <c r="E94" s="67"/>
      <c r="F94" s="67"/>
      <c r="G94" s="67"/>
      <c r="H94" s="67"/>
      <c r="I94" s="67"/>
      <c r="J94" s="67"/>
      <c r="K94" s="67"/>
      <c r="L94" s="67"/>
    </row>
    <row r="95" spans="1:12" x14ac:dyDescent="0.2">
      <c r="A95" s="67"/>
      <c r="B95" s="67"/>
      <c r="C95" s="67"/>
      <c r="D95" s="67"/>
      <c r="E95" s="67"/>
      <c r="F95" s="67"/>
      <c r="G95" s="67"/>
      <c r="H95" s="67"/>
      <c r="I95" s="67"/>
      <c r="J95" s="67"/>
      <c r="K95" s="67"/>
      <c r="L95" s="67"/>
    </row>
    <row r="96" spans="1:12" x14ac:dyDescent="0.2">
      <c r="A96" s="67"/>
      <c r="B96" s="67"/>
      <c r="C96" s="67"/>
      <c r="D96" s="67"/>
      <c r="E96" s="67"/>
      <c r="F96" s="67"/>
      <c r="G96" s="67"/>
      <c r="H96" s="67"/>
      <c r="I96" s="67"/>
      <c r="J96" s="67"/>
      <c r="K96" s="67"/>
      <c r="L96" s="67"/>
    </row>
    <row r="97" spans="1:12" x14ac:dyDescent="0.2">
      <c r="A97" s="67"/>
      <c r="B97" s="67"/>
      <c r="C97" s="67"/>
      <c r="D97" s="67"/>
      <c r="E97" s="67"/>
      <c r="F97" s="67"/>
      <c r="G97" s="67"/>
      <c r="H97" s="67"/>
      <c r="I97" s="67"/>
      <c r="J97" s="67"/>
      <c r="K97" s="67"/>
      <c r="L97" s="67"/>
    </row>
    <row r="98" spans="1:12" x14ac:dyDescent="0.2">
      <c r="A98" s="67"/>
      <c r="B98" s="67"/>
      <c r="C98" s="67"/>
      <c r="D98" s="67"/>
      <c r="E98" s="67"/>
      <c r="F98" s="67"/>
      <c r="G98" s="67"/>
      <c r="H98" s="67"/>
      <c r="I98" s="67"/>
      <c r="J98" s="67"/>
      <c r="K98" s="67"/>
      <c r="L98" s="67"/>
    </row>
  </sheetData>
  <sheetProtection sheet="1" objects="1" scenarios="1"/>
  <mergeCells count="4">
    <mergeCell ref="B42:K42"/>
    <mergeCell ref="B1:K2"/>
    <mergeCell ref="B3:K3"/>
    <mergeCell ref="B39:K40"/>
  </mergeCells>
  <hyperlinks>
    <hyperlink ref="B3" r:id="rId1" xr:uid="{6CF1C776-2EA3-463B-ACEE-A402EE25B255}"/>
    <hyperlink ref="B42" r:id="rId2" xr:uid="{8FB1D409-633A-4D39-8FC8-FC2D33BE4A15}"/>
  </hyperlinks>
  <pageMargins left="0.39370078740157483" right="0.23622047244094491" top="0.74803149606299213" bottom="0.74803149606299213" header="0.31496062992125984" footer="0.31496062992125984"/>
  <pageSetup paperSize="9" fitToHeight="2"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09FB3-F1F8-4524-9128-635E1F3598EB}">
  <sheetPr codeName="Ark10">
    <tabColor rgb="FFFF0000"/>
    <pageSetUpPr fitToPage="1"/>
  </sheetPr>
  <dimension ref="A1:P53"/>
  <sheetViews>
    <sheetView showRowColHeaders="0" workbookViewId="0">
      <selection activeCell="P53" sqref="P53"/>
    </sheetView>
  </sheetViews>
  <sheetFormatPr baseColWidth="10" defaultColWidth="0" defaultRowHeight="15" zeroHeight="1" x14ac:dyDescent="0.2"/>
  <cols>
    <col min="1" max="1" width="3" customWidth="1"/>
    <col min="2" max="14" width="9.1640625" customWidth="1"/>
    <col min="15" max="15" width="5.1640625" customWidth="1"/>
    <col min="16" max="16" width="3.33203125" customWidth="1"/>
    <col min="17" max="16384" width="9.1640625" hidden="1"/>
  </cols>
  <sheetData>
    <row r="1" spans="1:16" x14ac:dyDescent="0.2">
      <c r="B1" s="335"/>
      <c r="C1" s="335"/>
      <c r="D1" s="335"/>
      <c r="E1" s="335"/>
      <c r="F1" s="335"/>
      <c r="G1" s="335"/>
      <c r="H1" s="335"/>
      <c r="I1" s="335"/>
      <c r="J1" s="335"/>
      <c r="K1" s="335"/>
      <c r="L1" s="335"/>
      <c r="M1" s="335"/>
      <c r="N1" s="335"/>
      <c r="O1" s="335"/>
      <c r="P1" s="335"/>
    </row>
    <row r="2" spans="1:16" x14ac:dyDescent="0.2">
      <c r="A2" s="335"/>
      <c r="B2" s="335"/>
      <c r="C2" s="335"/>
      <c r="D2" s="335"/>
      <c r="E2" s="335"/>
      <c r="F2" s="335"/>
      <c r="G2" s="335"/>
      <c r="H2" s="335"/>
      <c r="I2" s="335"/>
      <c r="J2" s="335"/>
      <c r="K2" s="335"/>
      <c r="L2" s="335"/>
      <c r="M2" s="335"/>
      <c r="N2" s="335"/>
      <c r="O2" s="335"/>
      <c r="P2" s="335"/>
    </row>
    <row r="3" spans="1:16" x14ac:dyDescent="0.2">
      <c r="A3" s="335"/>
      <c r="B3" s="335"/>
      <c r="C3" s="335"/>
      <c r="D3" s="335"/>
      <c r="E3" s="335"/>
      <c r="F3" s="335"/>
      <c r="G3" s="335"/>
      <c r="H3" s="335"/>
      <c r="I3" s="335"/>
      <c r="J3" s="335"/>
      <c r="K3" s="335"/>
      <c r="L3" s="335"/>
      <c r="M3" s="335"/>
      <c r="N3" s="335"/>
      <c r="O3" s="335"/>
      <c r="P3" s="335"/>
    </row>
    <row r="4" spans="1:16" x14ac:dyDescent="0.2">
      <c r="A4" s="335"/>
      <c r="B4" s="335"/>
      <c r="C4" s="335"/>
      <c r="D4" s="335"/>
      <c r="E4" s="335"/>
      <c r="F4" s="335"/>
      <c r="G4" s="335"/>
      <c r="H4" s="335"/>
      <c r="I4" s="335"/>
      <c r="J4" s="335"/>
      <c r="K4" s="335"/>
      <c r="L4" s="335"/>
      <c r="M4" s="335"/>
      <c r="N4" s="335"/>
      <c r="O4" s="335"/>
      <c r="P4" s="335"/>
    </row>
    <row r="5" spans="1:16" x14ac:dyDescent="0.2">
      <c r="A5" s="335"/>
      <c r="B5" s="335"/>
      <c r="C5" s="335"/>
      <c r="D5" s="335"/>
      <c r="E5" s="335"/>
      <c r="F5" s="335"/>
      <c r="G5" s="335"/>
      <c r="H5" s="335"/>
      <c r="I5" s="335"/>
      <c r="J5" s="335"/>
      <c r="K5" s="335"/>
      <c r="L5" s="335"/>
      <c r="M5" s="335"/>
      <c r="N5" s="335"/>
      <c r="O5" s="335"/>
      <c r="P5" s="335"/>
    </row>
    <row r="6" spans="1:16" x14ac:dyDescent="0.2">
      <c r="A6" s="336"/>
      <c r="B6" s="335"/>
      <c r="C6" s="335"/>
      <c r="D6" s="335"/>
      <c r="E6" s="335"/>
      <c r="F6" s="335"/>
      <c r="G6" s="335"/>
      <c r="H6" s="335"/>
      <c r="I6" s="335"/>
      <c r="J6" s="335"/>
      <c r="K6" s="335"/>
      <c r="L6" s="335"/>
      <c r="M6" s="335"/>
      <c r="N6" s="335"/>
      <c r="O6" s="337"/>
      <c r="P6" s="337"/>
    </row>
    <row r="7" spans="1:16" x14ac:dyDescent="0.2">
      <c r="A7" s="335"/>
      <c r="B7" s="335"/>
      <c r="C7" s="335"/>
      <c r="D7" s="335"/>
      <c r="E7" s="335"/>
      <c r="F7" s="335"/>
      <c r="G7" s="335"/>
      <c r="H7" s="335"/>
      <c r="I7" s="335"/>
      <c r="J7" s="335"/>
      <c r="K7" s="335"/>
      <c r="L7" s="335"/>
      <c r="M7" s="335"/>
      <c r="N7" s="335"/>
      <c r="O7" s="335"/>
      <c r="P7" s="335"/>
    </row>
    <row r="8" spans="1:16" x14ac:dyDescent="0.2">
      <c r="A8" s="335"/>
      <c r="B8" s="338"/>
      <c r="C8" s="335"/>
      <c r="D8" s="335"/>
      <c r="E8" s="335"/>
      <c r="F8" s="335"/>
      <c r="G8" s="335"/>
      <c r="H8" s="335"/>
      <c r="I8" s="335"/>
      <c r="J8" s="335"/>
      <c r="K8" s="335"/>
      <c r="L8" s="335"/>
      <c r="M8" s="335"/>
      <c r="N8" s="335"/>
      <c r="O8" s="335"/>
      <c r="P8" s="335"/>
    </row>
    <row r="9" spans="1:16" x14ac:dyDescent="0.2">
      <c r="A9" s="335"/>
      <c r="B9" s="483" t="s">
        <v>331</v>
      </c>
      <c r="C9" s="484"/>
      <c r="D9" s="484"/>
      <c r="E9" s="484"/>
      <c r="F9" s="484"/>
      <c r="G9" s="484"/>
      <c r="H9" s="484"/>
      <c r="I9" s="340"/>
      <c r="J9" s="14"/>
      <c r="K9" s="14"/>
      <c r="L9" s="14"/>
      <c r="M9" s="14"/>
      <c r="N9" s="14"/>
      <c r="O9" s="16"/>
      <c r="P9" s="335"/>
    </row>
    <row r="10" spans="1:16" x14ac:dyDescent="0.2">
      <c r="A10" s="335"/>
      <c r="B10" s="485"/>
      <c r="C10" s="486"/>
      <c r="D10" s="486"/>
      <c r="E10" s="486"/>
      <c r="F10" s="486"/>
      <c r="G10" s="486"/>
      <c r="H10" s="486"/>
      <c r="I10" s="341"/>
      <c r="J10" s="10"/>
      <c r="K10" s="10"/>
      <c r="L10" s="10"/>
      <c r="M10" s="10"/>
      <c r="N10" s="10"/>
      <c r="O10" s="11"/>
      <c r="P10" s="335"/>
    </row>
    <row r="11" spans="1:16" x14ac:dyDescent="0.2">
      <c r="A11" s="335"/>
      <c r="B11" s="345" t="s">
        <v>332</v>
      </c>
      <c r="C11" s="341"/>
      <c r="D11" s="341"/>
      <c r="E11" s="341"/>
      <c r="F11" s="341"/>
      <c r="G11" s="341"/>
      <c r="H11" s="341"/>
      <c r="I11" s="341"/>
      <c r="J11" s="10"/>
      <c r="K11" s="10"/>
      <c r="L11" s="10"/>
      <c r="M11" s="10"/>
      <c r="N11" s="10"/>
      <c r="O11" s="11"/>
      <c r="P11" s="335"/>
    </row>
    <row r="12" spans="1:16" x14ac:dyDescent="0.2">
      <c r="A12" s="335"/>
      <c r="B12" s="230" t="s">
        <v>333</v>
      </c>
      <c r="C12" s="341"/>
      <c r="D12" s="341"/>
      <c r="E12" s="341"/>
      <c r="F12" s="341"/>
      <c r="G12" s="341"/>
      <c r="H12" s="341"/>
      <c r="I12" s="341"/>
      <c r="J12" s="10"/>
      <c r="K12" s="10"/>
      <c r="L12" s="10"/>
      <c r="M12" s="10"/>
      <c r="N12" s="10"/>
      <c r="O12" s="11"/>
      <c r="P12" s="335"/>
    </row>
    <row r="13" spans="1:16" x14ac:dyDescent="0.2">
      <c r="A13" s="335"/>
      <c r="B13" s="230" t="s">
        <v>334</v>
      </c>
      <c r="C13" s="341"/>
      <c r="D13" s="341"/>
      <c r="E13" s="341"/>
      <c r="F13" s="341"/>
      <c r="G13" s="341"/>
      <c r="H13" s="341"/>
      <c r="I13" s="341"/>
      <c r="J13" s="10"/>
      <c r="K13" s="10"/>
      <c r="L13" s="10"/>
      <c r="M13" s="10"/>
      <c r="N13" s="10"/>
      <c r="O13" s="11"/>
      <c r="P13" s="335"/>
    </row>
    <row r="14" spans="1:16" x14ac:dyDescent="0.2">
      <c r="A14" s="335"/>
      <c r="B14" s="230" t="s">
        <v>335</v>
      </c>
      <c r="C14" s="341"/>
      <c r="D14" s="341"/>
      <c r="E14" s="341"/>
      <c r="F14" s="341"/>
      <c r="G14" s="341"/>
      <c r="H14" s="341"/>
      <c r="I14" s="341"/>
      <c r="J14" s="10"/>
      <c r="K14" s="10"/>
      <c r="L14" s="10"/>
      <c r="M14" s="10"/>
      <c r="N14" s="10"/>
      <c r="O14" s="11"/>
      <c r="P14" s="335"/>
    </row>
    <row r="15" spans="1:16" x14ac:dyDescent="0.2">
      <c r="A15" s="335"/>
      <c r="B15" s="230"/>
      <c r="C15" s="341"/>
      <c r="D15" s="341"/>
      <c r="E15" s="341"/>
      <c r="F15" s="341"/>
      <c r="G15" s="341"/>
      <c r="H15" s="341"/>
      <c r="I15" s="341"/>
      <c r="J15" s="10"/>
      <c r="K15" s="10"/>
      <c r="L15" s="10"/>
      <c r="M15" s="10"/>
      <c r="N15" s="10"/>
      <c r="O15" s="11"/>
      <c r="P15" s="335"/>
    </row>
    <row r="16" spans="1:16" x14ac:dyDescent="0.2">
      <c r="A16" s="335"/>
      <c r="B16" s="230" t="s">
        <v>336</v>
      </c>
      <c r="C16" s="341"/>
      <c r="D16" s="341"/>
      <c r="E16" s="341"/>
      <c r="F16" s="341"/>
      <c r="G16" s="341"/>
      <c r="H16" s="341"/>
      <c r="I16" s="341"/>
      <c r="J16" s="10"/>
      <c r="K16" s="10"/>
      <c r="L16" s="10"/>
      <c r="M16" s="10"/>
      <c r="N16" s="10"/>
      <c r="O16" s="11"/>
      <c r="P16" s="335"/>
    </row>
    <row r="17" spans="1:16" ht="25.5" customHeight="1" x14ac:dyDescent="0.2">
      <c r="A17" s="335"/>
      <c r="B17" s="350" t="s">
        <v>337</v>
      </c>
      <c r="C17" s="342"/>
      <c r="D17" s="342"/>
      <c r="E17" s="342"/>
      <c r="F17" s="342"/>
      <c r="G17" s="342"/>
      <c r="H17" s="342"/>
      <c r="I17" s="342"/>
      <c r="J17" s="4"/>
      <c r="K17" s="4"/>
      <c r="L17" s="4"/>
      <c r="M17" s="4"/>
      <c r="N17" s="4"/>
      <c r="O17" s="9"/>
      <c r="P17" s="335"/>
    </row>
    <row r="18" spans="1:16" x14ac:dyDescent="0.2">
      <c r="A18" s="335"/>
      <c r="B18" s="343"/>
      <c r="C18" s="344"/>
      <c r="D18" s="344"/>
      <c r="E18" s="344"/>
      <c r="F18" s="344"/>
      <c r="G18" s="344"/>
      <c r="H18" s="344"/>
      <c r="I18" s="344"/>
      <c r="J18" s="335"/>
      <c r="K18" s="335"/>
      <c r="L18" s="335"/>
      <c r="M18" s="335"/>
      <c r="N18" s="335"/>
      <c r="O18" s="335"/>
      <c r="P18" s="335"/>
    </row>
    <row r="19" spans="1:16" ht="15" customHeight="1" x14ac:dyDescent="0.2">
      <c r="A19" s="335"/>
      <c r="B19" s="483" t="s">
        <v>338</v>
      </c>
      <c r="C19" s="484"/>
      <c r="D19" s="484"/>
      <c r="E19" s="484"/>
      <c r="F19" s="484"/>
      <c r="G19" s="484"/>
      <c r="H19" s="484"/>
      <c r="I19" s="484"/>
      <c r="J19" s="14"/>
      <c r="K19" s="14"/>
      <c r="L19" s="14"/>
      <c r="M19" s="14"/>
      <c r="N19" s="14"/>
      <c r="O19" s="16"/>
      <c r="P19" s="335"/>
    </row>
    <row r="20" spans="1:16" ht="15" customHeight="1" x14ac:dyDescent="0.2">
      <c r="A20" s="335"/>
      <c r="B20" s="485"/>
      <c r="C20" s="486"/>
      <c r="D20" s="486"/>
      <c r="E20" s="486"/>
      <c r="F20" s="486"/>
      <c r="G20" s="486"/>
      <c r="H20" s="486"/>
      <c r="I20" s="486"/>
      <c r="J20" s="10"/>
      <c r="K20" s="10"/>
      <c r="L20" s="10"/>
      <c r="M20" s="10"/>
      <c r="N20" s="10"/>
      <c r="O20" s="11"/>
      <c r="P20" s="335"/>
    </row>
    <row r="21" spans="1:16" x14ac:dyDescent="0.2">
      <c r="A21" s="335"/>
      <c r="B21" s="345" t="s">
        <v>339</v>
      </c>
      <c r="C21" s="341"/>
      <c r="D21" s="341"/>
      <c r="E21" s="341"/>
      <c r="F21" s="341"/>
      <c r="G21" s="341"/>
      <c r="H21" s="341"/>
      <c r="I21" s="341"/>
      <c r="J21" s="10"/>
      <c r="K21" s="10"/>
      <c r="L21" s="10"/>
      <c r="M21" s="10"/>
      <c r="N21" s="10"/>
      <c r="O21" s="11"/>
      <c r="P21" s="335"/>
    </row>
    <row r="22" spans="1:16" x14ac:dyDescent="0.2">
      <c r="A22" s="335"/>
      <c r="B22" s="345" t="s">
        <v>375</v>
      </c>
      <c r="C22" s="341"/>
      <c r="D22" s="341"/>
      <c r="E22" s="341"/>
      <c r="F22" s="341"/>
      <c r="G22" s="341"/>
      <c r="H22" s="341"/>
      <c r="I22" s="341"/>
      <c r="J22" s="10"/>
      <c r="K22" s="10"/>
      <c r="L22" s="10"/>
      <c r="M22" s="10"/>
      <c r="N22" s="10"/>
      <c r="O22" s="11"/>
      <c r="P22" s="335"/>
    </row>
    <row r="23" spans="1:16" x14ac:dyDescent="0.2">
      <c r="A23" s="335"/>
      <c r="B23" s="345" t="s">
        <v>340</v>
      </c>
      <c r="C23" s="341"/>
      <c r="D23" s="341"/>
      <c r="E23" s="341"/>
      <c r="F23" s="341"/>
      <c r="G23" s="341"/>
      <c r="H23" s="341"/>
      <c r="I23" s="341"/>
      <c r="J23" s="10"/>
      <c r="K23" s="10"/>
      <c r="L23" s="10"/>
      <c r="M23" s="10"/>
      <c r="N23" s="10"/>
      <c r="O23" s="11"/>
      <c r="P23" s="335"/>
    </row>
    <row r="24" spans="1:16" x14ac:dyDescent="0.2">
      <c r="A24" s="338"/>
      <c r="B24" s="345" t="s">
        <v>341</v>
      </c>
      <c r="C24" s="341"/>
      <c r="D24" s="341"/>
      <c r="E24" s="341"/>
      <c r="F24" s="341"/>
      <c r="G24" s="341"/>
      <c r="H24" s="341"/>
      <c r="I24" s="341"/>
      <c r="J24" s="10"/>
      <c r="K24" s="10"/>
      <c r="L24" s="10"/>
      <c r="M24" s="10"/>
      <c r="N24" s="10"/>
      <c r="O24" s="11"/>
      <c r="P24" s="335"/>
    </row>
    <row r="25" spans="1:16" x14ac:dyDescent="0.2">
      <c r="A25" s="338"/>
      <c r="B25" s="345" t="s">
        <v>342</v>
      </c>
      <c r="C25" s="341"/>
      <c r="D25" s="341"/>
      <c r="E25" s="341"/>
      <c r="F25" s="341"/>
      <c r="G25" s="341"/>
      <c r="H25" s="341"/>
      <c r="I25" s="341"/>
      <c r="J25" s="10"/>
      <c r="K25" s="10"/>
      <c r="L25" s="10"/>
      <c r="M25" s="10"/>
      <c r="N25" s="10"/>
      <c r="O25" s="11"/>
      <c r="P25" s="335"/>
    </row>
    <row r="26" spans="1:16" x14ac:dyDescent="0.2">
      <c r="A26" s="338"/>
      <c r="B26" s="345" t="s">
        <v>343</v>
      </c>
      <c r="C26" s="341"/>
      <c r="D26" s="341"/>
      <c r="E26" s="341"/>
      <c r="F26" s="341"/>
      <c r="G26" s="341"/>
      <c r="H26" s="341"/>
      <c r="I26" s="341"/>
      <c r="J26" s="10"/>
      <c r="K26" s="10"/>
      <c r="L26" s="10"/>
      <c r="M26" s="10"/>
      <c r="N26" s="10"/>
      <c r="O26" s="11"/>
      <c r="P26" s="335"/>
    </row>
    <row r="27" spans="1:16" x14ac:dyDescent="0.2">
      <c r="A27" s="338"/>
      <c r="B27" s="345" t="s">
        <v>344</v>
      </c>
      <c r="C27" s="341"/>
      <c r="D27" s="341"/>
      <c r="E27" s="341"/>
      <c r="F27" s="341"/>
      <c r="G27" s="341"/>
      <c r="H27" s="341"/>
      <c r="I27" s="341"/>
      <c r="J27" s="10"/>
      <c r="K27" s="10"/>
      <c r="L27" s="10"/>
      <c r="M27" s="10"/>
      <c r="N27" s="10"/>
      <c r="O27" s="11"/>
      <c r="P27" s="335"/>
    </row>
    <row r="28" spans="1:16" x14ac:dyDescent="0.2">
      <c r="A28" s="338"/>
      <c r="B28" s="345" t="s">
        <v>345</v>
      </c>
      <c r="C28" s="341"/>
      <c r="D28" s="341"/>
      <c r="E28" s="341"/>
      <c r="F28" s="341"/>
      <c r="G28" s="341"/>
      <c r="H28" s="341"/>
      <c r="I28" s="341"/>
      <c r="J28" s="10"/>
      <c r="K28" s="10"/>
      <c r="L28" s="10"/>
      <c r="M28" s="10"/>
      <c r="N28" s="10"/>
      <c r="O28" s="11"/>
      <c r="P28" s="335"/>
    </row>
    <row r="29" spans="1:16" x14ac:dyDescent="0.2">
      <c r="A29" s="338"/>
      <c r="B29" s="345" t="s">
        <v>361</v>
      </c>
      <c r="C29" s="341"/>
      <c r="D29" s="341"/>
      <c r="E29" s="341"/>
      <c r="F29" s="341"/>
      <c r="G29" s="341"/>
      <c r="H29" s="341"/>
      <c r="I29" s="341"/>
      <c r="J29" s="10"/>
      <c r="K29" s="10"/>
      <c r="L29" s="10"/>
      <c r="M29" s="10"/>
      <c r="N29" s="10"/>
      <c r="O29" s="11"/>
      <c r="P29" s="335"/>
    </row>
    <row r="30" spans="1:16" x14ac:dyDescent="0.2">
      <c r="A30" s="338"/>
      <c r="B30" s="345" t="s">
        <v>362</v>
      </c>
      <c r="C30" s="341"/>
      <c r="D30" s="341"/>
      <c r="E30" s="341"/>
      <c r="F30" s="341"/>
      <c r="G30" s="341"/>
      <c r="H30" s="341"/>
      <c r="I30" s="341"/>
      <c r="J30" s="10"/>
      <c r="K30" s="10"/>
      <c r="L30" s="10"/>
      <c r="M30" s="10"/>
      <c r="N30" s="10"/>
      <c r="O30" s="11"/>
      <c r="P30" s="335"/>
    </row>
    <row r="31" spans="1:16" x14ac:dyDescent="0.2">
      <c r="A31" s="338"/>
      <c r="B31" s="230"/>
      <c r="C31" s="341"/>
      <c r="D31" s="341"/>
      <c r="E31" s="341"/>
      <c r="F31" s="341"/>
      <c r="G31" s="341"/>
      <c r="H31" s="341"/>
      <c r="I31" s="341"/>
      <c r="J31" s="10"/>
      <c r="K31" s="10"/>
      <c r="L31" s="10"/>
      <c r="M31" s="10"/>
      <c r="N31" s="10"/>
      <c r="O31" s="11"/>
      <c r="P31" s="335"/>
    </row>
    <row r="32" spans="1:16" ht="16" x14ac:dyDescent="0.2">
      <c r="A32" s="338"/>
      <c r="B32" s="346" t="s">
        <v>363</v>
      </c>
      <c r="C32" s="341"/>
      <c r="D32" s="341"/>
      <c r="E32" s="341"/>
      <c r="F32" s="341"/>
      <c r="G32" s="341"/>
      <c r="H32" s="341"/>
      <c r="I32" s="341"/>
      <c r="J32" s="10"/>
      <c r="K32" s="10"/>
      <c r="L32" s="10"/>
      <c r="M32" s="10"/>
      <c r="N32" s="10"/>
      <c r="O32" s="11"/>
      <c r="P32" s="335"/>
    </row>
    <row r="33" spans="1:16" x14ac:dyDescent="0.2">
      <c r="A33" s="338"/>
      <c r="B33" s="345" t="s">
        <v>364</v>
      </c>
      <c r="C33" s="341"/>
      <c r="D33" s="341"/>
      <c r="E33" s="341"/>
      <c r="F33" s="341"/>
      <c r="G33" s="341"/>
      <c r="H33" s="341"/>
      <c r="I33" s="341"/>
      <c r="J33" s="10"/>
      <c r="K33" s="10"/>
      <c r="L33" s="10"/>
      <c r="M33" s="10"/>
      <c r="N33" s="10"/>
      <c r="O33" s="11"/>
      <c r="P33" s="335"/>
    </row>
    <row r="34" spans="1:16" x14ac:dyDescent="0.2">
      <c r="A34" s="338"/>
      <c r="B34" s="345" t="s">
        <v>346</v>
      </c>
      <c r="C34" s="341"/>
      <c r="D34" s="341"/>
      <c r="E34" s="341"/>
      <c r="F34" s="341"/>
      <c r="G34" s="341"/>
      <c r="H34" s="341"/>
      <c r="I34" s="341"/>
      <c r="J34" s="10"/>
      <c r="K34" s="10"/>
      <c r="L34" s="10"/>
      <c r="M34" s="10"/>
      <c r="N34" s="10"/>
      <c r="O34" s="11"/>
      <c r="P34" s="335"/>
    </row>
    <row r="35" spans="1:16" x14ac:dyDescent="0.2">
      <c r="A35" s="338"/>
      <c r="B35" s="345" t="s">
        <v>347</v>
      </c>
      <c r="C35" s="341"/>
      <c r="D35" s="341"/>
      <c r="E35" s="341"/>
      <c r="F35" s="341"/>
      <c r="G35" s="341"/>
      <c r="H35" s="341"/>
      <c r="I35" s="341"/>
      <c r="J35" s="10"/>
      <c r="K35" s="10"/>
      <c r="L35" s="10"/>
      <c r="M35" s="10"/>
      <c r="N35" s="10"/>
      <c r="O35" s="11"/>
      <c r="P35" s="335"/>
    </row>
    <row r="36" spans="1:16" x14ac:dyDescent="0.2">
      <c r="A36" s="338"/>
      <c r="B36" s="345" t="s">
        <v>348</v>
      </c>
      <c r="C36" s="341"/>
      <c r="D36" s="341"/>
      <c r="E36" s="341"/>
      <c r="F36" s="341"/>
      <c r="G36" s="341"/>
      <c r="H36" s="341"/>
      <c r="I36" s="341"/>
      <c r="J36" s="10"/>
      <c r="K36" s="10"/>
      <c r="L36" s="10"/>
      <c r="M36" s="10"/>
      <c r="N36" s="10"/>
      <c r="O36" s="11"/>
      <c r="P36" s="335"/>
    </row>
    <row r="37" spans="1:16" x14ac:dyDescent="0.2">
      <c r="A37" s="338"/>
      <c r="B37" s="345" t="s">
        <v>365</v>
      </c>
      <c r="C37" s="341"/>
      <c r="D37" s="341"/>
      <c r="E37" s="341"/>
      <c r="F37" s="341"/>
      <c r="G37" s="341"/>
      <c r="H37" s="341"/>
      <c r="I37" s="341"/>
      <c r="J37" s="10"/>
      <c r="K37" s="10"/>
      <c r="L37" s="10"/>
      <c r="M37" s="10"/>
      <c r="N37" s="10"/>
      <c r="O37" s="11"/>
      <c r="P37" s="335"/>
    </row>
    <row r="38" spans="1:16" x14ac:dyDescent="0.2">
      <c r="A38" s="338"/>
      <c r="B38" s="345" t="s">
        <v>366</v>
      </c>
      <c r="C38" s="341"/>
      <c r="D38" s="341"/>
      <c r="E38" s="341"/>
      <c r="F38" s="341"/>
      <c r="G38" s="341"/>
      <c r="H38" s="341"/>
      <c r="I38" s="341"/>
      <c r="J38" s="10"/>
      <c r="K38" s="10"/>
      <c r="L38" s="10"/>
      <c r="M38" s="10"/>
      <c r="N38" s="10"/>
      <c r="O38" s="11"/>
      <c r="P38" s="335"/>
    </row>
    <row r="39" spans="1:16" x14ac:dyDescent="0.2">
      <c r="A39" s="335"/>
      <c r="B39" s="230"/>
      <c r="C39" s="341"/>
      <c r="D39" s="341"/>
      <c r="E39" s="341"/>
      <c r="F39" s="341"/>
      <c r="G39" s="341"/>
      <c r="H39" s="341"/>
      <c r="I39" s="341"/>
      <c r="J39" s="10"/>
      <c r="K39" s="10"/>
      <c r="L39" s="10"/>
      <c r="M39" s="10"/>
      <c r="N39" s="10"/>
      <c r="O39" s="11"/>
      <c r="P39" s="335"/>
    </row>
    <row r="40" spans="1:16" ht="16" x14ac:dyDescent="0.2">
      <c r="A40" s="335"/>
      <c r="B40" s="346" t="s">
        <v>349</v>
      </c>
      <c r="C40" s="341"/>
      <c r="D40" s="341"/>
      <c r="E40" s="341"/>
      <c r="F40" s="341"/>
      <c r="G40" s="341"/>
      <c r="H40" s="341"/>
      <c r="I40" s="341"/>
      <c r="J40" s="10"/>
      <c r="K40" s="10"/>
      <c r="L40" s="10"/>
      <c r="M40" s="10"/>
      <c r="N40" s="10"/>
      <c r="O40" s="11"/>
      <c r="P40" s="335"/>
    </row>
    <row r="41" spans="1:16" ht="16" x14ac:dyDescent="0.2">
      <c r="A41" s="335"/>
      <c r="B41" s="346" t="s">
        <v>367</v>
      </c>
      <c r="C41" s="341"/>
      <c r="D41" s="341"/>
      <c r="E41" s="341"/>
      <c r="F41" s="341"/>
      <c r="G41" s="341"/>
      <c r="H41" s="341"/>
      <c r="I41" s="341"/>
      <c r="J41" s="10"/>
      <c r="K41" s="10"/>
      <c r="L41" s="10"/>
      <c r="M41" s="10"/>
      <c r="N41" s="10"/>
      <c r="O41" s="11"/>
      <c r="P41" s="335"/>
    </row>
    <row r="42" spans="1:16" x14ac:dyDescent="0.2">
      <c r="A42" s="335"/>
      <c r="B42" s="230" t="s">
        <v>350</v>
      </c>
      <c r="C42" s="341"/>
      <c r="D42" s="341"/>
      <c r="E42" s="341"/>
      <c r="F42" s="341"/>
      <c r="G42" s="341"/>
      <c r="H42" s="341"/>
      <c r="I42" s="341"/>
      <c r="J42" s="10"/>
      <c r="K42" s="10"/>
      <c r="L42" s="10"/>
      <c r="M42" s="10"/>
      <c r="N42" s="10"/>
      <c r="O42" s="11"/>
      <c r="P42" s="335"/>
    </row>
    <row r="43" spans="1:16" ht="25.5" customHeight="1" x14ac:dyDescent="0.2">
      <c r="A43" s="335"/>
      <c r="B43" s="350" t="s">
        <v>351</v>
      </c>
      <c r="C43" s="342"/>
      <c r="D43" s="342"/>
      <c r="E43" s="342"/>
      <c r="F43" s="342"/>
      <c r="G43" s="342"/>
      <c r="H43" s="342"/>
      <c r="I43" s="342"/>
      <c r="J43" s="4"/>
      <c r="K43" s="4"/>
      <c r="L43" s="4"/>
      <c r="M43" s="4"/>
      <c r="N43" s="4"/>
      <c r="O43" s="9"/>
      <c r="P43" s="335"/>
    </row>
    <row r="44" spans="1:16" x14ac:dyDescent="0.2">
      <c r="A44" s="335"/>
      <c r="B44" s="344"/>
      <c r="C44" s="344"/>
      <c r="D44" s="344"/>
      <c r="E44" s="344"/>
      <c r="F44" s="344"/>
      <c r="G44" s="344"/>
      <c r="H44" s="344"/>
      <c r="I44" s="344"/>
      <c r="J44" s="335"/>
      <c r="K44" s="335"/>
      <c r="L44" s="335"/>
      <c r="M44" s="335"/>
      <c r="N44" s="335"/>
      <c r="O44" s="335"/>
      <c r="P44" s="335"/>
    </row>
    <row r="45" spans="1:16" ht="15" customHeight="1" x14ac:dyDescent="0.2">
      <c r="A45" s="335"/>
      <c r="B45" s="483" t="s">
        <v>374</v>
      </c>
      <c r="C45" s="484"/>
      <c r="D45" s="484"/>
      <c r="E45" s="484"/>
      <c r="F45" s="484"/>
      <c r="G45" s="340"/>
      <c r="H45" s="340"/>
      <c r="I45" s="340"/>
      <c r="J45" s="14"/>
      <c r="K45" s="14"/>
      <c r="L45" s="14"/>
      <c r="M45" s="14"/>
      <c r="N45" s="14"/>
      <c r="O45" s="16"/>
      <c r="P45" s="335"/>
    </row>
    <row r="46" spans="1:16" ht="15" customHeight="1" x14ac:dyDescent="0.2">
      <c r="A46" s="335"/>
      <c r="B46" s="485"/>
      <c r="C46" s="486"/>
      <c r="D46" s="486"/>
      <c r="E46" s="486"/>
      <c r="F46" s="486"/>
      <c r="G46" s="341"/>
      <c r="H46" s="341"/>
      <c r="I46" s="341"/>
      <c r="J46" s="10"/>
      <c r="K46" s="10"/>
      <c r="L46" s="10"/>
      <c r="M46" s="10"/>
      <c r="N46" s="10"/>
      <c r="O46" s="11"/>
      <c r="P46" s="335"/>
    </row>
    <row r="47" spans="1:16" x14ac:dyDescent="0.2">
      <c r="A47" s="339"/>
      <c r="B47" s="345" t="s">
        <v>352</v>
      </c>
      <c r="C47" s="341"/>
      <c r="D47" s="341"/>
      <c r="E47" s="349"/>
      <c r="F47" s="348" t="s">
        <v>357</v>
      </c>
      <c r="G47" s="341"/>
      <c r="H47" s="341"/>
      <c r="I47" s="341"/>
      <c r="J47" s="10"/>
      <c r="K47" s="10"/>
      <c r="L47" s="10"/>
      <c r="M47" s="10"/>
      <c r="N47" s="10"/>
      <c r="O47" s="11"/>
      <c r="P47" s="335"/>
    </row>
    <row r="48" spans="1:16" x14ac:dyDescent="0.2">
      <c r="A48" s="339"/>
      <c r="B48" s="345" t="s">
        <v>353</v>
      </c>
      <c r="C48" s="341"/>
      <c r="D48" s="341"/>
      <c r="E48" s="349"/>
      <c r="F48" s="348" t="s">
        <v>358</v>
      </c>
      <c r="G48" s="341"/>
      <c r="H48" s="341"/>
      <c r="I48" s="341"/>
      <c r="J48" s="10"/>
      <c r="K48" s="10"/>
      <c r="L48" s="10"/>
      <c r="M48" s="10"/>
      <c r="N48" s="10"/>
      <c r="O48" s="11"/>
      <c r="P48" s="335"/>
    </row>
    <row r="49" spans="1:16" x14ac:dyDescent="0.2">
      <c r="A49" s="339"/>
      <c r="B49" s="345" t="s">
        <v>354</v>
      </c>
      <c r="C49" s="341"/>
      <c r="D49" s="341"/>
      <c r="E49" s="349"/>
      <c r="F49" s="348" t="s">
        <v>368</v>
      </c>
      <c r="G49" s="341"/>
      <c r="H49" s="341"/>
      <c r="I49" s="341"/>
      <c r="J49" s="10"/>
      <c r="K49" s="10"/>
      <c r="L49" s="10"/>
      <c r="M49" s="10"/>
      <c r="N49" s="10"/>
      <c r="O49" s="11"/>
      <c r="P49" s="335"/>
    </row>
    <row r="50" spans="1:16" x14ac:dyDescent="0.2">
      <c r="A50" s="339"/>
      <c r="B50" s="345" t="s">
        <v>355</v>
      </c>
      <c r="C50" s="341"/>
      <c r="D50" s="341"/>
      <c r="E50" s="349"/>
      <c r="F50" s="347" t="s">
        <v>369</v>
      </c>
      <c r="G50" s="341"/>
      <c r="H50" s="341"/>
      <c r="I50" s="341"/>
      <c r="J50" s="10"/>
      <c r="K50" s="10"/>
      <c r="L50" s="10"/>
      <c r="M50" s="10"/>
      <c r="N50" s="10"/>
      <c r="O50" s="11"/>
      <c r="P50" s="335"/>
    </row>
    <row r="51" spans="1:16" x14ac:dyDescent="0.2">
      <c r="A51" s="339"/>
      <c r="B51" s="345" t="s">
        <v>356</v>
      </c>
      <c r="C51" s="341"/>
      <c r="D51" s="341"/>
      <c r="E51" s="349"/>
      <c r="F51" s="348" t="s">
        <v>359</v>
      </c>
      <c r="G51" s="341"/>
      <c r="H51" s="341"/>
      <c r="I51" s="341"/>
      <c r="J51" s="10"/>
      <c r="K51" s="10"/>
      <c r="L51" s="10"/>
      <c r="M51" s="10"/>
      <c r="N51" s="10"/>
      <c r="O51" s="11"/>
      <c r="P51" s="335"/>
    </row>
    <row r="52" spans="1:16" ht="25.5" customHeight="1" x14ac:dyDescent="0.2">
      <c r="A52" s="339"/>
      <c r="B52" s="353" t="s">
        <v>111</v>
      </c>
      <c r="C52" s="354"/>
      <c r="D52" s="354"/>
      <c r="E52" s="355"/>
      <c r="F52" s="356" t="s">
        <v>360</v>
      </c>
      <c r="G52" s="351"/>
      <c r="H52" s="351"/>
      <c r="I52" s="351"/>
      <c r="J52" s="352"/>
      <c r="K52" s="352"/>
      <c r="L52" s="352"/>
      <c r="M52" s="352"/>
      <c r="N52" s="4"/>
      <c r="O52" s="9"/>
      <c r="P52" s="335"/>
    </row>
    <row r="53" spans="1:16" x14ac:dyDescent="0.2">
      <c r="A53" s="335"/>
      <c r="B53" s="335"/>
      <c r="C53" s="335"/>
      <c r="D53" s="335"/>
      <c r="E53" s="335"/>
      <c r="F53" s="335"/>
      <c r="G53" s="335"/>
      <c r="H53" s="335"/>
      <c r="I53" s="335"/>
      <c r="J53" s="335"/>
      <c r="K53" s="335"/>
      <c r="L53" s="335"/>
      <c r="M53" s="335"/>
      <c r="N53" s="335"/>
      <c r="O53" s="335"/>
      <c r="P53" s="335"/>
    </row>
  </sheetData>
  <sheetProtection sheet="1" objects="1" scenarios="1" selectLockedCells="1" selectUnlockedCells="1"/>
  <mergeCells count="3">
    <mergeCell ref="B19:I20"/>
    <mergeCell ref="B9:H10"/>
    <mergeCell ref="B45:F46"/>
  </mergeCells>
  <pageMargins left="0.19685039370078741" right="0.19685039370078741" top="0.19685039370078741" bottom="0.19685039370078741" header="0" footer="0"/>
  <pageSetup paperSize="9" scale="7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57AEC-D968-4DDD-A366-5E962CABAE12}">
  <sheetPr codeName="Ark6"/>
  <dimension ref="B2"/>
  <sheetViews>
    <sheetView workbookViewId="0">
      <selection activeCell="B3" sqref="B3"/>
    </sheetView>
  </sheetViews>
  <sheetFormatPr baseColWidth="10" defaultColWidth="8.83203125" defaultRowHeight="15" x14ac:dyDescent="0.2"/>
  <sheetData>
    <row r="2" spans="2:2" x14ac:dyDescent="0.2">
      <c r="B2" t="s">
        <v>96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1511E-C360-4A71-A993-2DB787685C45}">
  <sheetPr codeName="Ark7">
    <tabColor theme="9" tint="0.39997558519241921"/>
  </sheetPr>
  <dimension ref="A1:R164"/>
  <sheetViews>
    <sheetView showRowColHeaders="0" zoomScaleNormal="100" workbookViewId="0">
      <selection activeCell="Q163" sqref="Q163"/>
    </sheetView>
  </sheetViews>
  <sheetFormatPr baseColWidth="10" defaultColWidth="0" defaultRowHeight="15" zeroHeight="1" x14ac:dyDescent="0.2"/>
  <cols>
    <col min="1" max="1" width="3.1640625" customWidth="1"/>
    <col min="2" max="2" width="1.83203125" customWidth="1"/>
    <col min="3" max="7" width="8.6640625" customWidth="1"/>
    <col min="8" max="8" width="2.83203125" customWidth="1"/>
    <col min="9" max="9" width="3.5" customWidth="1"/>
    <col min="10" max="10" width="1.83203125" customWidth="1"/>
    <col min="11" max="15" width="8.6640625" customWidth="1"/>
    <col min="16" max="16" width="2.83203125" customWidth="1"/>
    <col min="17" max="17" width="3.83203125" customWidth="1"/>
    <col min="18" max="18" width="0" hidden="1" customWidth="1"/>
    <col min="19" max="16384" width="8.6640625" hidden="1"/>
  </cols>
  <sheetData>
    <row r="1" spans="1:17" x14ac:dyDescent="0.2">
      <c r="A1" s="67"/>
      <c r="B1" s="67"/>
      <c r="C1" s="67"/>
      <c r="D1" s="67"/>
      <c r="E1" s="67"/>
      <c r="F1" s="67"/>
      <c r="G1" s="67"/>
      <c r="H1" s="67"/>
      <c r="I1" s="67"/>
      <c r="J1" s="67"/>
      <c r="K1" s="67"/>
      <c r="L1" s="67"/>
      <c r="M1" s="67"/>
      <c r="N1" s="67"/>
      <c r="O1" s="67"/>
      <c r="P1" s="67"/>
      <c r="Q1" s="67"/>
    </row>
    <row r="2" spans="1:17" ht="19" x14ac:dyDescent="0.25">
      <c r="A2" s="67"/>
      <c r="B2" s="67"/>
      <c r="C2" s="487" t="s">
        <v>249</v>
      </c>
      <c r="D2" s="487"/>
      <c r="E2" s="487"/>
      <c r="F2" s="487"/>
      <c r="G2" s="487"/>
      <c r="H2" s="487"/>
      <c r="I2" s="487"/>
      <c r="J2" s="487"/>
      <c r="K2" s="487"/>
      <c r="L2" s="487"/>
      <c r="M2" s="487"/>
      <c r="N2" s="487"/>
      <c r="O2" s="487"/>
      <c r="P2" s="67"/>
      <c r="Q2" s="67"/>
    </row>
    <row r="3" spans="1:17" x14ac:dyDescent="0.2">
      <c r="A3" s="67"/>
      <c r="B3" s="67"/>
      <c r="C3" s="67"/>
      <c r="D3" s="67"/>
      <c r="E3" s="67"/>
      <c r="F3" s="67"/>
      <c r="G3" s="67"/>
      <c r="H3" s="67"/>
      <c r="I3" s="67"/>
      <c r="J3" s="67"/>
      <c r="K3" s="67"/>
      <c r="L3" s="67"/>
      <c r="M3" s="67"/>
      <c r="N3" s="67"/>
      <c r="O3" s="67"/>
      <c r="P3" s="67"/>
      <c r="Q3" s="67"/>
    </row>
    <row r="4" spans="1:17" x14ac:dyDescent="0.2">
      <c r="A4" s="67"/>
      <c r="B4" s="13"/>
      <c r="C4" s="129" t="s">
        <v>107</v>
      </c>
      <c r="D4" s="14"/>
      <c r="E4" s="14"/>
      <c r="F4" s="14"/>
      <c r="G4" s="14"/>
      <c r="H4" s="16"/>
      <c r="I4" s="67"/>
      <c r="J4" s="13"/>
      <c r="K4" s="129" t="s">
        <v>127</v>
      </c>
      <c r="L4" s="14"/>
      <c r="M4" s="14"/>
      <c r="N4" s="14"/>
      <c r="O4" s="14"/>
      <c r="P4" s="16"/>
      <c r="Q4" s="67"/>
    </row>
    <row r="5" spans="1:17" x14ac:dyDescent="0.2">
      <c r="A5" s="67"/>
      <c r="B5" s="12"/>
      <c r="C5" s="10" t="s">
        <v>136</v>
      </c>
      <c r="D5" s="10"/>
      <c r="E5" s="10"/>
      <c r="F5" s="10"/>
      <c r="G5" s="10"/>
      <c r="H5" s="11"/>
      <c r="I5" s="67"/>
      <c r="J5" s="12"/>
      <c r="K5" s="10" t="s">
        <v>136</v>
      </c>
      <c r="L5" s="10"/>
      <c r="M5" s="10"/>
      <c r="N5" s="10"/>
      <c r="O5" s="10"/>
      <c r="P5" s="11"/>
      <c r="Q5" s="67"/>
    </row>
    <row r="6" spans="1:17" x14ac:dyDescent="0.2">
      <c r="A6" s="67"/>
      <c r="B6" s="12"/>
      <c r="C6" s="10" t="s">
        <v>207</v>
      </c>
      <c r="D6" s="10"/>
      <c r="E6" s="10"/>
      <c r="F6" s="10"/>
      <c r="G6" s="10"/>
      <c r="H6" s="11"/>
      <c r="I6" s="67"/>
      <c r="J6" s="12"/>
      <c r="K6" s="10" t="s">
        <v>128</v>
      </c>
      <c r="L6" s="10"/>
      <c r="M6" s="10"/>
      <c r="N6" s="10"/>
      <c r="O6" s="10"/>
      <c r="P6" s="11"/>
      <c r="Q6" s="67"/>
    </row>
    <row r="7" spans="1:17" x14ac:dyDescent="0.2">
      <c r="A7" s="67"/>
      <c r="B7" s="12"/>
      <c r="C7" s="10" t="s">
        <v>108</v>
      </c>
      <c r="D7" s="10"/>
      <c r="E7" s="10"/>
      <c r="F7" s="10"/>
      <c r="G7" s="10"/>
      <c r="H7" s="11"/>
      <c r="I7" s="67"/>
      <c r="J7" s="12"/>
      <c r="K7" s="10" t="s">
        <v>129</v>
      </c>
      <c r="L7" s="10"/>
      <c r="M7" s="10"/>
      <c r="N7" s="10"/>
      <c r="O7" s="10"/>
      <c r="P7" s="11"/>
      <c r="Q7" s="67"/>
    </row>
    <row r="8" spans="1:17" x14ac:dyDescent="0.2">
      <c r="A8" s="67"/>
      <c r="B8" s="12"/>
      <c r="C8" s="10" t="s">
        <v>109</v>
      </c>
      <c r="D8" s="10"/>
      <c r="E8" s="10"/>
      <c r="F8" s="10"/>
      <c r="G8" s="10"/>
      <c r="H8" s="11"/>
      <c r="I8" s="67"/>
      <c r="J8" s="12"/>
      <c r="K8" s="10" t="s">
        <v>130</v>
      </c>
      <c r="L8" s="10"/>
      <c r="M8" s="10"/>
      <c r="N8" s="10"/>
      <c r="O8" s="10"/>
      <c r="P8" s="11"/>
      <c r="Q8" s="67"/>
    </row>
    <row r="9" spans="1:17" x14ac:dyDescent="0.2">
      <c r="A9" s="67"/>
      <c r="B9" s="12"/>
      <c r="C9" s="10" t="s">
        <v>112</v>
      </c>
      <c r="D9" s="10"/>
      <c r="E9" s="10"/>
      <c r="F9" s="10"/>
      <c r="G9" s="10"/>
      <c r="H9" s="11"/>
      <c r="I9" s="67"/>
      <c r="J9" s="12"/>
      <c r="K9" s="10" t="s">
        <v>115</v>
      </c>
      <c r="L9" s="10"/>
      <c r="M9" s="10"/>
      <c r="N9" s="10"/>
      <c r="O9" s="10"/>
      <c r="P9" s="11"/>
      <c r="Q9" s="67"/>
    </row>
    <row r="10" spans="1:17" x14ac:dyDescent="0.2">
      <c r="A10" s="67"/>
      <c r="B10" s="12"/>
      <c r="C10" s="10" t="s">
        <v>110</v>
      </c>
      <c r="D10" s="10"/>
      <c r="E10" s="10"/>
      <c r="F10" s="10"/>
      <c r="G10" s="10"/>
      <c r="H10" s="11"/>
      <c r="I10" s="67"/>
      <c r="J10" s="12"/>
      <c r="K10" s="10" t="s">
        <v>171</v>
      </c>
      <c r="L10" s="10"/>
      <c r="M10" s="10"/>
      <c r="N10" s="10"/>
      <c r="O10" s="10"/>
      <c r="P10" s="11"/>
      <c r="Q10" s="67"/>
    </row>
    <row r="11" spans="1:17" x14ac:dyDescent="0.2">
      <c r="A11" s="67"/>
      <c r="B11" s="12"/>
      <c r="C11" s="10" t="s">
        <v>111</v>
      </c>
      <c r="D11" s="10"/>
      <c r="E11" s="10"/>
      <c r="F11" s="10"/>
      <c r="G11" s="10"/>
      <c r="H11" s="11"/>
      <c r="I11" s="67"/>
      <c r="J11" s="12"/>
      <c r="K11" s="10" t="s">
        <v>112</v>
      </c>
      <c r="L11" s="10"/>
      <c r="M11" s="10"/>
      <c r="N11" s="10"/>
      <c r="O11" s="10"/>
      <c r="P11" s="11"/>
      <c r="Q11" s="67"/>
    </row>
    <row r="12" spans="1:17" x14ac:dyDescent="0.2">
      <c r="A12" s="67"/>
      <c r="B12" s="12"/>
      <c r="C12" s="10"/>
      <c r="D12" s="10"/>
      <c r="E12" s="10"/>
      <c r="F12" s="10"/>
      <c r="G12" s="10"/>
      <c r="H12" s="11"/>
      <c r="I12" s="67"/>
      <c r="J12" s="12"/>
      <c r="K12" s="10" t="s">
        <v>119</v>
      </c>
      <c r="L12" s="10"/>
      <c r="M12" s="10"/>
      <c r="N12" s="10"/>
      <c r="O12" s="10"/>
      <c r="P12" s="11"/>
      <c r="Q12" s="67"/>
    </row>
    <row r="13" spans="1:17" x14ac:dyDescent="0.2">
      <c r="A13" s="67"/>
      <c r="B13" s="12"/>
      <c r="C13" s="10" t="s">
        <v>113</v>
      </c>
      <c r="D13" s="10"/>
      <c r="E13" s="10"/>
      <c r="F13" s="10"/>
      <c r="G13" s="10"/>
      <c r="H13" s="11"/>
      <c r="I13" s="67"/>
      <c r="J13" s="12"/>
      <c r="K13" s="10" t="s">
        <v>111</v>
      </c>
      <c r="L13" s="10"/>
      <c r="M13" s="10"/>
      <c r="N13" s="10"/>
      <c r="O13" s="10"/>
      <c r="P13" s="11"/>
      <c r="Q13" s="67"/>
    </row>
    <row r="14" spans="1:17" x14ac:dyDescent="0.2">
      <c r="A14" s="67"/>
      <c r="B14" s="12"/>
      <c r="C14" s="10" t="s">
        <v>124</v>
      </c>
      <c r="D14" s="10"/>
      <c r="E14" s="10"/>
      <c r="F14" s="10"/>
      <c r="G14" s="10"/>
      <c r="H14" s="11"/>
      <c r="I14" s="67"/>
      <c r="J14" s="12"/>
      <c r="K14" s="10"/>
      <c r="L14" s="10"/>
      <c r="M14" s="10"/>
      <c r="N14" s="10"/>
      <c r="O14" s="10"/>
      <c r="P14" s="11"/>
      <c r="Q14" s="67"/>
    </row>
    <row r="15" spans="1:17" x14ac:dyDescent="0.2">
      <c r="A15" s="67"/>
      <c r="B15" s="12"/>
      <c r="C15" s="10" t="s">
        <v>125</v>
      </c>
      <c r="D15" s="10"/>
      <c r="E15" s="10"/>
      <c r="F15" s="10"/>
      <c r="G15" s="10"/>
      <c r="H15" s="11"/>
      <c r="I15" s="67"/>
      <c r="J15" s="12"/>
      <c r="K15" s="10" t="s">
        <v>131</v>
      </c>
      <c r="L15" s="10"/>
      <c r="M15" s="10"/>
      <c r="N15" s="10"/>
      <c r="O15" s="10"/>
      <c r="P15" s="11"/>
      <c r="Q15" s="67"/>
    </row>
    <row r="16" spans="1:17" x14ac:dyDescent="0.2">
      <c r="A16" s="67"/>
      <c r="B16" s="12"/>
      <c r="C16" s="10" t="s">
        <v>126</v>
      </c>
      <c r="D16" s="10"/>
      <c r="E16" s="10"/>
      <c r="F16" s="10"/>
      <c r="G16" s="10"/>
      <c r="H16" s="11"/>
      <c r="I16" s="67"/>
      <c r="J16" s="12"/>
      <c r="K16" s="10" t="s">
        <v>132</v>
      </c>
      <c r="L16" s="10"/>
      <c r="M16" s="10"/>
      <c r="N16" s="10"/>
      <c r="O16" s="10"/>
      <c r="P16" s="11"/>
      <c r="Q16" s="67"/>
    </row>
    <row r="17" spans="1:17" x14ac:dyDescent="0.2">
      <c r="A17" s="67"/>
      <c r="B17" s="12"/>
      <c r="C17" s="10" t="s">
        <v>114</v>
      </c>
      <c r="D17" s="10"/>
      <c r="E17" s="10"/>
      <c r="F17" s="10"/>
      <c r="G17" s="10"/>
      <c r="H17" s="11"/>
      <c r="I17" s="67"/>
      <c r="J17" s="12"/>
      <c r="K17" s="10" t="s">
        <v>133</v>
      </c>
      <c r="L17" s="10"/>
      <c r="M17" s="10"/>
      <c r="N17" s="10"/>
      <c r="O17" s="10"/>
      <c r="P17" s="11"/>
      <c r="Q17" s="67"/>
    </row>
    <row r="18" spans="1:17" x14ac:dyDescent="0.2">
      <c r="A18" s="67"/>
      <c r="B18" s="12"/>
      <c r="C18" s="10"/>
      <c r="D18" s="10"/>
      <c r="E18" s="10"/>
      <c r="F18" s="10"/>
      <c r="G18" s="10"/>
      <c r="H18" s="11"/>
      <c r="I18" s="67"/>
      <c r="J18" s="12"/>
      <c r="K18" s="10" t="s">
        <v>134</v>
      </c>
      <c r="L18" s="10"/>
      <c r="M18" s="10"/>
      <c r="N18" s="10"/>
      <c r="O18" s="10"/>
      <c r="P18" s="11"/>
      <c r="Q18" s="67"/>
    </row>
    <row r="19" spans="1:17" x14ac:dyDescent="0.2">
      <c r="A19" s="67"/>
      <c r="B19" s="12"/>
      <c r="C19" s="10"/>
      <c r="D19" s="10"/>
      <c r="E19" s="10"/>
      <c r="F19" s="10"/>
      <c r="G19" s="10"/>
      <c r="H19" s="11"/>
      <c r="I19" s="67"/>
      <c r="J19" s="12"/>
      <c r="K19" s="10" t="s">
        <v>135</v>
      </c>
      <c r="L19" s="10"/>
      <c r="M19" s="10"/>
      <c r="N19" s="10"/>
      <c r="O19" s="10"/>
      <c r="P19" s="11"/>
      <c r="Q19" s="67"/>
    </row>
    <row r="20" spans="1:17" x14ac:dyDescent="0.2">
      <c r="A20" s="67"/>
      <c r="B20" s="12"/>
      <c r="C20" s="10"/>
      <c r="D20" s="10"/>
      <c r="E20" s="10"/>
      <c r="F20" s="10"/>
      <c r="G20" s="10"/>
      <c r="H20" s="11"/>
      <c r="I20" s="67"/>
      <c r="J20" s="12"/>
      <c r="K20" s="10" t="s">
        <v>114</v>
      </c>
      <c r="L20" s="10"/>
      <c r="M20" s="10"/>
      <c r="N20" s="10"/>
      <c r="O20" s="10"/>
      <c r="P20" s="11"/>
      <c r="Q20" s="67"/>
    </row>
    <row r="21" spans="1:17" x14ac:dyDescent="0.2">
      <c r="A21" s="67"/>
      <c r="B21" s="12"/>
      <c r="C21" s="10"/>
      <c r="D21" s="10"/>
      <c r="E21" s="10"/>
      <c r="F21" s="10"/>
      <c r="G21" s="10"/>
      <c r="H21" s="11"/>
      <c r="I21" s="67"/>
      <c r="J21" s="12"/>
      <c r="K21" s="10"/>
      <c r="L21" s="10"/>
      <c r="M21" s="10"/>
      <c r="N21" s="10"/>
      <c r="O21" s="10"/>
      <c r="P21" s="11"/>
      <c r="Q21" s="67"/>
    </row>
    <row r="22" spans="1:17" ht="16" x14ac:dyDescent="0.2">
      <c r="A22" s="67"/>
      <c r="B22" s="12"/>
      <c r="C22" s="10"/>
      <c r="D22" s="10"/>
      <c r="E22" s="10"/>
      <c r="F22" s="10"/>
      <c r="G22" s="10"/>
      <c r="H22" s="11"/>
      <c r="I22" s="67"/>
      <c r="J22" s="12"/>
      <c r="K22" s="131"/>
      <c r="L22" s="10"/>
      <c r="M22" s="10"/>
      <c r="N22" s="10"/>
      <c r="O22" s="10"/>
      <c r="P22" s="11"/>
      <c r="Q22" s="67"/>
    </row>
    <row r="23" spans="1:17" x14ac:dyDescent="0.2">
      <c r="A23" s="67"/>
      <c r="B23" s="12"/>
      <c r="C23" s="10"/>
      <c r="D23" s="10"/>
      <c r="E23" s="10"/>
      <c r="F23" s="10"/>
      <c r="G23" s="10"/>
      <c r="H23" s="11"/>
      <c r="I23" s="67"/>
      <c r="J23" s="12"/>
      <c r="K23" s="10"/>
      <c r="L23" s="10"/>
      <c r="M23" s="10"/>
      <c r="N23" s="10"/>
      <c r="O23" s="10"/>
      <c r="P23" s="11"/>
      <c r="Q23" s="67"/>
    </row>
    <row r="24" spans="1:17" x14ac:dyDescent="0.2">
      <c r="A24" s="67"/>
      <c r="B24" s="12"/>
      <c r="C24" s="10"/>
      <c r="D24" s="10"/>
      <c r="E24" s="10"/>
      <c r="F24" s="10"/>
      <c r="G24" s="10"/>
      <c r="H24" s="11"/>
      <c r="I24" s="67"/>
      <c r="J24" s="12"/>
      <c r="K24" s="10"/>
      <c r="L24" s="10"/>
      <c r="M24" s="10"/>
      <c r="N24" s="10"/>
      <c r="O24" s="10"/>
      <c r="P24" s="11"/>
      <c r="Q24" s="67"/>
    </row>
    <row r="25" spans="1:17" x14ac:dyDescent="0.2">
      <c r="A25" s="67"/>
      <c r="B25" s="12"/>
      <c r="C25" s="10"/>
      <c r="D25" s="10"/>
      <c r="E25" s="10"/>
      <c r="F25" s="10"/>
      <c r="G25" s="10"/>
      <c r="H25" s="11"/>
      <c r="I25" s="67"/>
      <c r="J25" s="12"/>
      <c r="K25" s="10"/>
      <c r="L25" s="10"/>
      <c r="M25" s="10"/>
      <c r="N25" s="10"/>
      <c r="O25" s="10"/>
      <c r="P25" s="11"/>
      <c r="Q25" s="67"/>
    </row>
    <row r="26" spans="1:17" x14ac:dyDescent="0.2">
      <c r="A26" s="67"/>
      <c r="B26" s="12"/>
      <c r="C26" s="10"/>
      <c r="D26" s="10"/>
      <c r="E26" s="10"/>
      <c r="F26" s="10"/>
      <c r="G26" s="10"/>
      <c r="H26" s="11"/>
      <c r="I26" s="67"/>
      <c r="J26" s="12"/>
      <c r="K26" s="10"/>
      <c r="L26" s="10"/>
      <c r="M26" s="10"/>
      <c r="N26" s="10"/>
      <c r="O26" s="10"/>
      <c r="P26" s="11"/>
      <c r="Q26" s="67"/>
    </row>
    <row r="27" spans="1:17" x14ac:dyDescent="0.2">
      <c r="A27" s="67"/>
      <c r="B27" s="12"/>
      <c r="C27" s="10"/>
      <c r="D27" s="10"/>
      <c r="E27" s="10"/>
      <c r="F27" s="10"/>
      <c r="G27" s="10"/>
      <c r="H27" s="11"/>
      <c r="I27" s="67"/>
      <c r="J27" s="12"/>
      <c r="K27" s="10"/>
      <c r="L27" s="10"/>
      <c r="M27" s="10"/>
      <c r="N27" s="10"/>
      <c r="O27" s="10"/>
      <c r="P27" s="11"/>
      <c r="Q27" s="67"/>
    </row>
    <row r="28" spans="1:17" x14ac:dyDescent="0.2">
      <c r="A28" s="67"/>
      <c r="B28" s="12"/>
      <c r="C28" s="10"/>
      <c r="D28" s="10"/>
      <c r="E28" s="10"/>
      <c r="F28" s="10"/>
      <c r="G28" s="10"/>
      <c r="H28" s="11"/>
      <c r="I28" s="67"/>
      <c r="J28" s="12"/>
      <c r="K28" s="10"/>
      <c r="L28" s="10"/>
      <c r="M28" s="10"/>
      <c r="N28" s="10"/>
      <c r="O28" s="10"/>
      <c r="P28" s="11"/>
      <c r="Q28" s="67"/>
    </row>
    <row r="29" spans="1:17" x14ac:dyDescent="0.2">
      <c r="A29" s="67"/>
      <c r="B29" s="3"/>
      <c r="C29" s="4"/>
      <c r="D29" s="4"/>
      <c r="E29" s="4"/>
      <c r="F29" s="4"/>
      <c r="G29" s="4"/>
      <c r="H29" s="9"/>
      <c r="I29" s="67"/>
      <c r="J29" s="12"/>
      <c r="K29" s="10"/>
      <c r="L29" s="10"/>
      <c r="M29" s="10"/>
      <c r="N29" s="10"/>
      <c r="O29" s="10"/>
      <c r="P29" s="11"/>
      <c r="Q29" s="67"/>
    </row>
    <row r="30" spans="1:17" x14ac:dyDescent="0.2">
      <c r="A30" s="67"/>
      <c r="B30" s="67"/>
      <c r="C30" s="67"/>
      <c r="D30" s="67"/>
      <c r="E30" s="67"/>
      <c r="F30" s="67"/>
      <c r="G30" s="67"/>
      <c r="H30" s="67"/>
      <c r="I30" s="67"/>
      <c r="J30" s="12"/>
      <c r="K30" s="10"/>
      <c r="L30" s="10"/>
      <c r="M30" s="10"/>
      <c r="N30" s="10"/>
      <c r="O30" s="10"/>
      <c r="P30" s="11"/>
      <c r="Q30" s="67"/>
    </row>
    <row r="31" spans="1:17" x14ac:dyDescent="0.2">
      <c r="A31" s="67"/>
      <c r="B31" s="13"/>
      <c r="C31" s="129" t="s">
        <v>147</v>
      </c>
      <c r="D31" s="14"/>
      <c r="E31" s="14"/>
      <c r="F31" s="14"/>
      <c r="G31" s="14"/>
      <c r="H31" s="16"/>
      <c r="I31" s="67"/>
      <c r="J31" s="12"/>
      <c r="K31" s="10"/>
      <c r="L31" s="10"/>
      <c r="M31" s="10"/>
      <c r="N31" s="10"/>
      <c r="O31" s="10"/>
      <c r="P31" s="11"/>
      <c r="Q31" s="67"/>
    </row>
    <row r="32" spans="1:17" x14ac:dyDescent="0.2">
      <c r="A32" s="67"/>
      <c r="B32" s="12"/>
      <c r="C32" s="10" t="s">
        <v>148</v>
      </c>
      <c r="D32" s="10"/>
      <c r="E32" s="10"/>
      <c r="F32" s="10"/>
      <c r="G32" s="10"/>
      <c r="H32" s="11"/>
      <c r="I32" s="67"/>
      <c r="J32" s="12"/>
      <c r="K32" s="10"/>
      <c r="L32" s="10"/>
      <c r="M32" s="10"/>
      <c r="N32" s="10"/>
      <c r="O32" s="10"/>
      <c r="P32" s="11"/>
      <c r="Q32" s="67"/>
    </row>
    <row r="33" spans="1:17" x14ac:dyDescent="0.2">
      <c r="A33" s="67"/>
      <c r="B33" s="12"/>
      <c r="C33" s="10" t="s">
        <v>149</v>
      </c>
      <c r="D33" s="10"/>
      <c r="E33" s="10"/>
      <c r="F33" s="10"/>
      <c r="G33" s="10"/>
      <c r="H33" s="11"/>
      <c r="I33" s="67"/>
      <c r="J33" s="3"/>
      <c r="K33" s="4"/>
      <c r="L33" s="4"/>
      <c r="M33" s="4"/>
      <c r="N33" s="4"/>
      <c r="O33" s="4"/>
      <c r="P33" s="9"/>
      <c r="Q33" s="67"/>
    </row>
    <row r="34" spans="1:17" x14ac:dyDescent="0.2">
      <c r="A34" s="67"/>
      <c r="B34" s="12"/>
      <c r="C34" s="10" t="s">
        <v>122</v>
      </c>
      <c r="D34" s="10"/>
      <c r="E34" s="10"/>
      <c r="F34" s="10"/>
      <c r="G34" s="10"/>
      <c r="H34" s="11"/>
      <c r="I34" s="67"/>
      <c r="J34" s="67"/>
      <c r="K34" s="67"/>
      <c r="L34" s="67"/>
      <c r="M34" s="67"/>
      <c r="N34" s="67"/>
      <c r="O34" s="67"/>
      <c r="P34" s="67"/>
      <c r="Q34" s="67"/>
    </row>
    <row r="35" spans="1:17" x14ac:dyDescent="0.2">
      <c r="A35" s="67"/>
      <c r="B35" s="12"/>
      <c r="C35" s="10" t="s">
        <v>150</v>
      </c>
      <c r="D35" s="10"/>
      <c r="E35" s="10"/>
      <c r="F35" s="10"/>
      <c r="G35" s="10"/>
      <c r="H35" s="11"/>
      <c r="I35" s="67"/>
      <c r="J35" s="13"/>
      <c r="K35" s="129" t="s">
        <v>137</v>
      </c>
      <c r="L35" s="14"/>
      <c r="M35" s="14"/>
      <c r="N35" s="14"/>
      <c r="O35" s="14"/>
      <c r="P35" s="16"/>
      <c r="Q35" s="67"/>
    </row>
    <row r="36" spans="1:17" x14ac:dyDescent="0.2">
      <c r="A36" s="67"/>
      <c r="B36" s="12"/>
      <c r="C36" s="10" t="s">
        <v>115</v>
      </c>
      <c r="D36" s="10"/>
      <c r="E36" s="10"/>
      <c r="F36" s="10"/>
      <c r="G36" s="10"/>
      <c r="H36" s="11"/>
      <c r="I36" s="67"/>
      <c r="J36" s="12"/>
      <c r="K36" s="10" t="s">
        <v>138</v>
      </c>
      <c r="L36" s="10"/>
      <c r="M36" s="10"/>
      <c r="N36" s="10"/>
      <c r="O36" s="10"/>
      <c r="P36" s="11"/>
      <c r="Q36" s="67"/>
    </row>
    <row r="37" spans="1:17" x14ac:dyDescent="0.2">
      <c r="A37" s="67"/>
      <c r="B37" s="12"/>
      <c r="C37" s="10" t="s">
        <v>151</v>
      </c>
      <c r="D37" s="10"/>
      <c r="E37" s="10"/>
      <c r="F37" s="10"/>
      <c r="G37" s="10"/>
      <c r="H37" s="11"/>
      <c r="I37" s="67"/>
      <c r="J37" s="12"/>
      <c r="K37" s="10" t="s">
        <v>119</v>
      </c>
      <c r="L37" s="10"/>
      <c r="M37" s="10"/>
      <c r="N37" s="10"/>
      <c r="O37" s="10"/>
      <c r="P37" s="11"/>
      <c r="Q37" s="67"/>
    </row>
    <row r="38" spans="1:17" x14ac:dyDescent="0.2">
      <c r="A38" s="67"/>
      <c r="B38" s="12"/>
      <c r="C38" s="10" t="s">
        <v>119</v>
      </c>
      <c r="D38" s="10"/>
      <c r="E38" s="10"/>
      <c r="F38" s="10"/>
      <c r="G38" s="10"/>
      <c r="H38" s="11"/>
      <c r="I38" s="67"/>
      <c r="J38" s="12"/>
      <c r="K38" s="10" t="s">
        <v>139</v>
      </c>
      <c r="L38" s="10"/>
      <c r="M38" s="10"/>
      <c r="N38" s="10"/>
      <c r="O38" s="10"/>
      <c r="P38" s="11"/>
      <c r="Q38" s="67"/>
    </row>
    <row r="39" spans="1:17" x14ac:dyDescent="0.2">
      <c r="A39" s="67"/>
      <c r="B39" s="12"/>
      <c r="C39" s="10" t="s">
        <v>120</v>
      </c>
      <c r="D39" s="10"/>
      <c r="E39" s="10"/>
      <c r="F39" s="10"/>
      <c r="G39" s="10"/>
      <c r="H39" s="11"/>
      <c r="I39" s="67"/>
      <c r="J39" s="12"/>
      <c r="K39" s="10" t="s">
        <v>140</v>
      </c>
      <c r="L39" s="10"/>
      <c r="M39" s="10"/>
      <c r="N39" s="10"/>
      <c r="O39" s="10"/>
      <c r="P39" s="11"/>
      <c r="Q39" s="67"/>
    </row>
    <row r="40" spans="1:17" x14ac:dyDescent="0.2">
      <c r="A40" s="67"/>
      <c r="B40" s="12"/>
      <c r="C40" s="10" t="s">
        <v>111</v>
      </c>
      <c r="D40" s="10"/>
      <c r="E40" s="10"/>
      <c r="F40" s="10"/>
      <c r="G40" s="10"/>
      <c r="H40" s="11"/>
      <c r="I40" s="67"/>
      <c r="J40" s="12"/>
      <c r="K40" s="10" t="s">
        <v>120</v>
      </c>
      <c r="L40" s="10"/>
      <c r="M40" s="10"/>
      <c r="N40" s="10"/>
      <c r="O40" s="10"/>
      <c r="P40" s="11"/>
      <c r="Q40" s="67"/>
    </row>
    <row r="41" spans="1:17" x14ac:dyDescent="0.2">
      <c r="A41" s="67"/>
      <c r="B41" s="12"/>
      <c r="C41" s="10"/>
      <c r="D41" s="10"/>
      <c r="E41" s="10"/>
      <c r="F41" s="10"/>
      <c r="G41" s="10"/>
      <c r="H41" s="11"/>
      <c r="I41" s="67"/>
      <c r="J41" s="12"/>
      <c r="K41" s="10" t="s">
        <v>111</v>
      </c>
      <c r="L41" s="10"/>
      <c r="M41" s="10"/>
      <c r="N41" s="10"/>
      <c r="O41" s="10"/>
      <c r="P41" s="11"/>
      <c r="Q41" s="67"/>
    </row>
    <row r="42" spans="1:17" x14ac:dyDescent="0.2">
      <c r="A42" s="67"/>
      <c r="B42" s="12"/>
      <c r="C42" s="10" t="s">
        <v>152</v>
      </c>
      <c r="D42" s="10"/>
      <c r="E42" s="10"/>
      <c r="F42" s="10"/>
      <c r="G42" s="10"/>
      <c r="H42" s="11"/>
      <c r="I42" s="67"/>
      <c r="J42" s="12"/>
      <c r="K42" s="10" t="s">
        <v>141</v>
      </c>
      <c r="L42" s="10"/>
      <c r="M42" s="10"/>
      <c r="N42" s="10"/>
      <c r="O42" s="10"/>
      <c r="P42" s="11"/>
      <c r="Q42" s="67"/>
    </row>
    <row r="43" spans="1:17" x14ac:dyDescent="0.2">
      <c r="A43" s="67"/>
      <c r="B43" s="12"/>
      <c r="C43" s="10" t="s">
        <v>156</v>
      </c>
      <c r="D43" s="10"/>
      <c r="E43" s="10"/>
      <c r="F43" s="10"/>
      <c r="G43" s="10"/>
      <c r="H43" s="11"/>
      <c r="I43" s="67"/>
      <c r="J43" s="12"/>
      <c r="K43" s="10"/>
      <c r="L43" s="10"/>
      <c r="M43" s="10"/>
      <c r="N43" s="10"/>
      <c r="O43" s="10"/>
      <c r="P43" s="11"/>
      <c r="Q43" s="67"/>
    </row>
    <row r="44" spans="1:17" x14ac:dyDescent="0.2">
      <c r="A44" s="67"/>
      <c r="B44" s="12"/>
      <c r="C44" s="10" t="s">
        <v>153</v>
      </c>
      <c r="D44" s="10"/>
      <c r="E44" s="10"/>
      <c r="F44" s="10"/>
      <c r="G44" s="10"/>
      <c r="H44" s="11"/>
      <c r="I44" s="67"/>
      <c r="J44" s="12"/>
      <c r="K44" s="10" t="s">
        <v>142</v>
      </c>
      <c r="L44" s="10"/>
      <c r="M44" s="10"/>
      <c r="N44" s="10"/>
      <c r="O44" s="10"/>
      <c r="P44" s="11"/>
      <c r="Q44" s="67"/>
    </row>
    <row r="45" spans="1:17" x14ac:dyDescent="0.2">
      <c r="A45" s="67"/>
      <c r="B45" s="12"/>
      <c r="C45" s="10" t="s">
        <v>154</v>
      </c>
      <c r="D45" s="10"/>
      <c r="E45" s="10"/>
      <c r="F45" s="10"/>
      <c r="G45" s="10"/>
      <c r="H45" s="11"/>
      <c r="I45" s="67"/>
      <c r="J45" s="12"/>
      <c r="K45" s="10" t="s">
        <v>143</v>
      </c>
      <c r="L45" s="10"/>
      <c r="M45" s="10"/>
      <c r="N45" s="10"/>
      <c r="O45" s="10"/>
      <c r="P45" s="11"/>
      <c r="Q45" s="67"/>
    </row>
    <row r="46" spans="1:17" x14ac:dyDescent="0.2">
      <c r="A46" s="67"/>
      <c r="B46" s="12"/>
      <c r="C46" s="10" t="s">
        <v>155</v>
      </c>
      <c r="D46" s="10"/>
      <c r="E46" s="10"/>
      <c r="F46" s="10"/>
      <c r="G46" s="10"/>
      <c r="H46" s="11"/>
      <c r="I46" s="67"/>
      <c r="J46" s="12"/>
      <c r="K46" s="10" t="s">
        <v>146</v>
      </c>
      <c r="L46" s="10"/>
      <c r="M46" s="10"/>
      <c r="N46" s="10"/>
      <c r="O46" s="10"/>
      <c r="P46" s="11"/>
      <c r="Q46" s="67"/>
    </row>
    <row r="47" spans="1:17" x14ac:dyDescent="0.2">
      <c r="A47" s="67"/>
      <c r="B47" s="12"/>
      <c r="C47" s="10"/>
      <c r="D47" s="10"/>
      <c r="E47" s="10"/>
      <c r="F47" s="10"/>
      <c r="G47" s="10"/>
      <c r="H47" s="11"/>
      <c r="I47" s="67"/>
      <c r="J47" s="12"/>
      <c r="K47" s="130" t="s">
        <v>144</v>
      </c>
      <c r="L47" s="10"/>
      <c r="M47" s="10"/>
      <c r="N47" s="10"/>
      <c r="O47" s="10"/>
      <c r="P47" s="11"/>
      <c r="Q47" s="67"/>
    </row>
    <row r="48" spans="1:17" x14ac:dyDescent="0.2">
      <c r="A48" s="67"/>
      <c r="B48" s="12"/>
      <c r="C48" s="133"/>
      <c r="D48" s="10"/>
      <c r="E48" s="10"/>
      <c r="F48" s="10"/>
      <c r="G48" s="10"/>
      <c r="H48" s="11"/>
      <c r="I48" s="67"/>
      <c r="J48" s="12"/>
      <c r="K48" s="10" t="s">
        <v>206</v>
      </c>
      <c r="L48" s="10"/>
      <c r="M48" s="10"/>
      <c r="N48" s="10"/>
      <c r="O48" s="10"/>
      <c r="P48" s="11"/>
      <c r="Q48" s="67"/>
    </row>
    <row r="49" spans="1:17" x14ac:dyDescent="0.2">
      <c r="A49" s="67"/>
      <c r="B49" s="12"/>
      <c r="C49" s="10"/>
      <c r="D49" s="10"/>
      <c r="E49" s="10"/>
      <c r="F49" s="10"/>
      <c r="G49" s="10"/>
      <c r="H49" s="11"/>
      <c r="I49" s="67"/>
      <c r="J49" s="12"/>
      <c r="K49" s="10" t="s">
        <v>135</v>
      </c>
      <c r="L49" s="10"/>
      <c r="M49" s="10"/>
      <c r="N49" s="10"/>
      <c r="O49" s="10"/>
      <c r="P49" s="11"/>
      <c r="Q49" s="67"/>
    </row>
    <row r="50" spans="1:17" x14ac:dyDescent="0.2">
      <c r="A50" s="67"/>
      <c r="B50" s="12"/>
      <c r="C50" s="10"/>
      <c r="D50" s="10"/>
      <c r="E50" s="10"/>
      <c r="F50" s="10"/>
      <c r="G50" s="10"/>
      <c r="H50" s="11"/>
      <c r="I50" s="67"/>
      <c r="J50" s="12"/>
      <c r="K50" s="10" t="s">
        <v>145</v>
      </c>
      <c r="L50" s="10"/>
      <c r="M50" s="10"/>
      <c r="N50" s="10"/>
      <c r="O50" s="10"/>
      <c r="P50" s="11"/>
      <c r="Q50" s="67"/>
    </row>
    <row r="51" spans="1:17" x14ac:dyDescent="0.2">
      <c r="A51" s="67"/>
      <c r="B51" s="12"/>
      <c r="C51" s="10"/>
      <c r="D51" s="10"/>
      <c r="E51" s="10"/>
      <c r="F51" s="10"/>
      <c r="G51" s="10"/>
      <c r="H51" s="11"/>
      <c r="I51" s="67"/>
      <c r="J51" s="12"/>
      <c r="K51" s="10"/>
      <c r="L51" s="10"/>
      <c r="M51" s="10"/>
      <c r="N51" s="10"/>
      <c r="O51" s="10"/>
      <c r="P51" s="11"/>
      <c r="Q51" s="67"/>
    </row>
    <row r="52" spans="1:17" x14ac:dyDescent="0.2">
      <c r="A52" s="67"/>
      <c r="B52" s="12"/>
      <c r="C52" s="10"/>
      <c r="D52" s="10"/>
      <c r="E52" s="10"/>
      <c r="F52" s="10"/>
      <c r="G52" s="10"/>
      <c r="H52" s="11"/>
      <c r="I52" s="67"/>
      <c r="J52" s="12"/>
      <c r="K52" s="10"/>
      <c r="L52" s="10"/>
      <c r="M52" s="10"/>
      <c r="N52" s="10"/>
      <c r="O52" s="10"/>
      <c r="P52" s="11"/>
      <c r="Q52" s="67"/>
    </row>
    <row r="53" spans="1:17" x14ac:dyDescent="0.2">
      <c r="A53" s="67"/>
      <c r="B53" s="12"/>
      <c r="C53" s="10"/>
      <c r="D53" s="10"/>
      <c r="E53" s="10"/>
      <c r="F53" s="10"/>
      <c r="G53" s="10"/>
      <c r="H53" s="11"/>
      <c r="I53" s="67"/>
      <c r="J53" s="12"/>
      <c r="K53" s="10"/>
      <c r="L53" s="10"/>
      <c r="M53" s="10"/>
      <c r="N53" s="10"/>
      <c r="O53" s="10"/>
      <c r="P53" s="11"/>
      <c r="Q53" s="67"/>
    </row>
    <row r="54" spans="1:17" x14ac:dyDescent="0.2">
      <c r="A54" s="67"/>
      <c r="B54" s="12"/>
      <c r="C54" s="10"/>
      <c r="D54" s="10"/>
      <c r="E54" s="10"/>
      <c r="F54" s="10"/>
      <c r="G54" s="10"/>
      <c r="H54" s="11"/>
      <c r="I54" s="67"/>
      <c r="J54" s="12"/>
      <c r="K54" s="10"/>
      <c r="L54" s="10"/>
      <c r="M54" s="10"/>
      <c r="N54" s="10"/>
      <c r="O54" s="10"/>
      <c r="P54" s="11"/>
      <c r="Q54" s="67"/>
    </row>
    <row r="55" spans="1:17" x14ac:dyDescent="0.2">
      <c r="A55" s="67"/>
      <c r="B55" s="12"/>
      <c r="C55" s="10"/>
      <c r="D55" s="10"/>
      <c r="E55" s="10"/>
      <c r="F55" s="10"/>
      <c r="G55" s="10"/>
      <c r="H55" s="11"/>
      <c r="I55" s="67"/>
      <c r="J55" s="12"/>
      <c r="K55" s="10"/>
      <c r="L55" s="10"/>
      <c r="M55" s="10"/>
      <c r="N55" s="10"/>
      <c r="O55" s="10"/>
      <c r="P55" s="11"/>
      <c r="Q55" s="67"/>
    </row>
    <row r="56" spans="1:17" x14ac:dyDescent="0.2">
      <c r="A56" s="67"/>
      <c r="B56" s="12"/>
      <c r="C56" s="10"/>
      <c r="D56" s="10"/>
      <c r="E56" s="10"/>
      <c r="F56" s="10"/>
      <c r="G56" s="10"/>
      <c r="H56" s="11"/>
      <c r="I56" s="67"/>
      <c r="J56" s="12"/>
      <c r="K56" s="10"/>
      <c r="L56" s="10"/>
      <c r="M56" s="10"/>
      <c r="N56" s="10"/>
      <c r="O56" s="10"/>
      <c r="P56" s="11"/>
      <c r="Q56" s="67"/>
    </row>
    <row r="57" spans="1:17" x14ac:dyDescent="0.2">
      <c r="A57" s="67"/>
      <c r="B57" s="12"/>
      <c r="C57" s="10"/>
      <c r="D57" s="10"/>
      <c r="E57" s="10"/>
      <c r="F57" s="10"/>
      <c r="G57" s="10"/>
      <c r="H57" s="11"/>
      <c r="I57" s="67"/>
      <c r="J57" s="12"/>
      <c r="K57" s="10"/>
      <c r="L57" s="10"/>
      <c r="M57" s="10"/>
      <c r="N57" s="10"/>
      <c r="O57" s="10"/>
      <c r="P57" s="11"/>
      <c r="Q57" s="67"/>
    </row>
    <row r="58" spans="1:17" x14ac:dyDescent="0.2">
      <c r="A58" s="67"/>
      <c r="B58" s="12"/>
      <c r="C58" s="10"/>
      <c r="D58" s="10"/>
      <c r="E58" s="10"/>
      <c r="F58" s="10"/>
      <c r="G58" s="10"/>
      <c r="H58" s="11"/>
      <c r="I58" s="67"/>
      <c r="J58" s="12"/>
      <c r="K58" s="10"/>
      <c r="L58" s="10"/>
      <c r="M58" s="10"/>
      <c r="N58" s="10"/>
      <c r="O58" s="10"/>
      <c r="P58" s="11"/>
      <c r="Q58" s="67"/>
    </row>
    <row r="59" spans="1:17" x14ac:dyDescent="0.2">
      <c r="A59" s="67"/>
      <c r="B59" s="3"/>
      <c r="C59" s="4"/>
      <c r="D59" s="4"/>
      <c r="E59" s="4"/>
      <c r="F59" s="4"/>
      <c r="G59" s="4"/>
      <c r="H59" s="9"/>
      <c r="I59" s="67"/>
      <c r="J59" s="12"/>
      <c r="K59" s="10"/>
      <c r="L59" s="10"/>
      <c r="M59" s="10"/>
      <c r="N59" s="10"/>
      <c r="O59" s="10"/>
      <c r="P59" s="11"/>
      <c r="Q59" s="67"/>
    </row>
    <row r="60" spans="1:17" x14ac:dyDescent="0.2">
      <c r="A60" s="67"/>
      <c r="B60" s="67"/>
      <c r="C60" s="67"/>
      <c r="D60" s="67"/>
      <c r="E60" s="67"/>
      <c r="F60" s="67"/>
      <c r="G60" s="67"/>
      <c r="H60" s="67"/>
      <c r="I60" s="67"/>
      <c r="J60" s="12"/>
      <c r="K60" s="10"/>
      <c r="L60" s="10"/>
      <c r="M60" s="10"/>
      <c r="N60" s="10"/>
      <c r="O60" s="10"/>
      <c r="P60" s="11"/>
      <c r="Q60" s="67"/>
    </row>
    <row r="61" spans="1:17" x14ac:dyDescent="0.2">
      <c r="A61" s="67"/>
      <c r="B61" s="13"/>
      <c r="C61" s="129" t="s">
        <v>169</v>
      </c>
      <c r="D61" s="14"/>
      <c r="E61" s="14"/>
      <c r="F61" s="14"/>
      <c r="G61" s="14"/>
      <c r="H61" s="16"/>
      <c r="I61" s="67"/>
      <c r="J61" s="12"/>
      <c r="K61" s="10"/>
      <c r="L61" s="10"/>
      <c r="M61" s="10"/>
      <c r="N61" s="10"/>
      <c r="O61" s="10"/>
      <c r="P61" s="11"/>
      <c r="Q61" s="67"/>
    </row>
    <row r="62" spans="1:17" x14ac:dyDescent="0.2">
      <c r="A62" s="67"/>
      <c r="B62" s="12"/>
      <c r="C62" s="10" t="s">
        <v>136</v>
      </c>
      <c r="D62" s="10"/>
      <c r="E62" s="10"/>
      <c r="F62" s="10"/>
      <c r="G62" s="10"/>
      <c r="H62" s="11"/>
      <c r="I62" s="67"/>
      <c r="J62" s="3"/>
      <c r="K62" s="4"/>
      <c r="L62" s="4"/>
      <c r="M62" s="4"/>
      <c r="N62" s="4"/>
      <c r="O62" s="4"/>
      <c r="P62" s="9"/>
      <c r="Q62" s="67"/>
    </row>
    <row r="63" spans="1:17" x14ac:dyDescent="0.2">
      <c r="A63" s="67"/>
      <c r="B63" s="12"/>
      <c r="C63" s="10" t="s">
        <v>164</v>
      </c>
      <c r="D63" s="10"/>
      <c r="E63" s="10"/>
      <c r="F63" s="10"/>
      <c r="G63" s="10"/>
      <c r="H63" s="11"/>
      <c r="I63" s="67"/>
      <c r="J63" s="67"/>
      <c r="K63" s="67"/>
      <c r="L63" s="67"/>
      <c r="M63" s="67"/>
      <c r="N63" s="67"/>
      <c r="O63" s="67"/>
      <c r="P63" s="67"/>
      <c r="Q63" s="67"/>
    </row>
    <row r="64" spans="1:17" x14ac:dyDescent="0.2">
      <c r="A64" s="67"/>
      <c r="B64" s="12"/>
      <c r="C64" s="10" t="s">
        <v>165</v>
      </c>
      <c r="D64" s="10"/>
      <c r="E64" s="10"/>
      <c r="F64" s="10"/>
      <c r="G64" s="10"/>
      <c r="H64" s="11"/>
      <c r="I64" s="67"/>
      <c r="J64" s="13"/>
      <c r="K64" s="129" t="s">
        <v>170</v>
      </c>
      <c r="L64" s="14"/>
      <c r="M64" s="14"/>
      <c r="N64" s="14"/>
      <c r="O64" s="14"/>
      <c r="P64" s="16"/>
      <c r="Q64" s="67"/>
    </row>
    <row r="65" spans="1:17" x14ac:dyDescent="0.2">
      <c r="A65" s="67"/>
      <c r="B65" s="12"/>
      <c r="C65" s="10" t="s">
        <v>140</v>
      </c>
      <c r="D65" s="10"/>
      <c r="E65" s="10"/>
      <c r="F65" s="10"/>
      <c r="G65" s="10"/>
      <c r="H65" s="11"/>
      <c r="I65" s="67"/>
      <c r="J65" s="12"/>
      <c r="K65" s="10" t="s">
        <v>160</v>
      </c>
      <c r="L65" s="10"/>
      <c r="M65" s="10"/>
      <c r="N65" s="10"/>
      <c r="O65" s="10"/>
      <c r="P65" s="11"/>
      <c r="Q65" s="67"/>
    </row>
    <row r="66" spans="1:17" x14ac:dyDescent="0.2">
      <c r="A66" s="67"/>
      <c r="B66" s="12"/>
      <c r="C66" s="10"/>
      <c r="D66" s="10"/>
      <c r="E66" s="10"/>
      <c r="F66" s="10"/>
      <c r="G66" s="10"/>
      <c r="H66" s="11"/>
      <c r="I66" s="67"/>
      <c r="J66" s="12"/>
      <c r="K66" s="10" t="s">
        <v>163</v>
      </c>
      <c r="L66" s="10"/>
      <c r="M66" s="10"/>
      <c r="N66" s="10"/>
      <c r="O66" s="10"/>
      <c r="P66" s="11"/>
      <c r="Q66" s="67"/>
    </row>
    <row r="67" spans="1:17" x14ac:dyDescent="0.2">
      <c r="A67" s="67"/>
      <c r="B67" s="12"/>
      <c r="C67" s="10" t="s">
        <v>166</v>
      </c>
      <c r="D67" s="10"/>
      <c r="E67" s="10"/>
      <c r="F67" s="10"/>
      <c r="G67" s="10"/>
      <c r="H67" s="11"/>
      <c r="I67" s="67"/>
      <c r="J67" s="12"/>
      <c r="K67" s="10" t="s">
        <v>157</v>
      </c>
      <c r="L67" s="10"/>
      <c r="M67" s="10"/>
      <c r="N67" s="10"/>
      <c r="O67" s="10"/>
      <c r="P67" s="11"/>
      <c r="Q67" s="67"/>
    </row>
    <row r="68" spans="1:17" x14ac:dyDescent="0.2">
      <c r="A68" s="67"/>
      <c r="B68" s="12"/>
      <c r="C68" s="10" t="s">
        <v>167</v>
      </c>
      <c r="D68" s="10"/>
      <c r="E68" s="10"/>
      <c r="F68" s="10"/>
      <c r="G68" s="10"/>
      <c r="H68" s="11"/>
      <c r="I68" s="67"/>
      <c r="J68" s="12"/>
      <c r="K68" s="10" t="s">
        <v>115</v>
      </c>
      <c r="L68" s="10"/>
      <c r="M68" s="10"/>
      <c r="N68" s="10"/>
      <c r="O68" s="10"/>
      <c r="P68" s="11"/>
      <c r="Q68" s="67"/>
    </row>
    <row r="69" spans="1:17" x14ac:dyDescent="0.2">
      <c r="A69" s="67"/>
      <c r="B69" s="12"/>
      <c r="C69" s="10" t="s">
        <v>168</v>
      </c>
      <c r="D69" s="10"/>
      <c r="E69" s="10"/>
      <c r="F69" s="10"/>
      <c r="G69" s="10"/>
      <c r="H69" s="11"/>
      <c r="I69" s="67"/>
      <c r="J69" s="12"/>
      <c r="K69" s="10" t="s">
        <v>119</v>
      </c>
      <c r="L69" s="10"/>
      <c r="M69" s="10"/>
      <c r="N69" s="10"/>
      <c r="O69" s="10"/>
      <c r="P69" s="11"/>
      <c r="Q69" s="67"/>
    </row>
    <row r="70" spans="1:17" x14ac:dyDescent="0.2">
      <c r="A70" s="67"/>
      <c r="B70" s="12"/>
      <c r="C70" s="10"/>
      <c r="D70" s="10"/>
      <c r="E70" s="10"/>
      <c r="F70" s="10"/>
      <c r="G70" s="10"/>
      <c r="H70" s="11"/>
      <c r="I70" s="67"/>
      <c r="J70" s="12"/>
      <c r="K70" s="10"/>
      <c r="L70" s="10"/>
      <c r="M70" s="10"/>
      <c r="N70" s="10"/>
      <c r="O70" s="10"/>
      <c r="P70" s="11"/>
      <c r="Q70" s="67"/>
    </row>
    <row r="71" spans="1:17" x14ac:dyDescent="0.2">
      <c r="A71" s="67"/>
      <c r="B71" s="12"/>
      <c r="C71" s="135"/>
      <c r="D71" s="10"/>
      <c r="E71" s="10"/>
      <c r="F71" s="10"/>
      <c r="G71" s="10"/>
      <c r="H71" s="11"/>
      <c r="I71" s="67"/>
      <c r="J71" s="12"/>
      <c r="K71" s="132" t="s">
        <v>158</v>
      </c>
      <c r="L71" s="10"/>
      <c r="M71" s="10"/>
      <c r="N71" s="10"/>
      <c r="O71" s="10"/>
      <c r="P71" s="11"/>
      <c r="Q71" s="67"/>
    </row>
    <row r="72" spans="1:17" x14ac:dyDescent="0.2">
      <c r="A72" s="67"/>
      <c r="B72" s="12"/>
      <c r="C72" s="10"/>
      <c r="D72" s="10"/>
      <c r="E72" s="10"/>
      <c r="F72" s="10"/>
      <c r="G72" s="10"/>
      <c r="H72" s="11"/>
      <c r="I72" s="67"/>
      <c r="J72" s="12"/>
      <c r="K72" s="10" t="s">
        <v>159</v>
      </c>
      <c r="L72" s="10"/>
      <c r="M72" s="27"/>
      <c r="N72" s="10"/>
      <c r="O72" s="10"/>
      <c r="P72" s="11"/>
      <c r="Q72" s="67"/>
    </row>
    <row r="73" spans="1:17" x14ac:dyDescent="0.2">
      <c r="A73" s="67"/>
      <c r="B73" s="12"/>
      <c r="C73" s="10"/>
      <c r="D73" s="10"/>
      <c r="E73" s="10"/>
      <c r="F73" s="10"/>
      <c r="G73" s="10"/>
      <c r="H73" s="11"/>
      <c r="I73" s="67"/>
      <c r="J73" s="12"/>
      <c r="K73" s="10"/>
      <c r="L73" s="10"/>
      <c r="M73" s="10"/>
      <c r="N73" s="10"/>
      <c r="O73" s="10"/>
      <c r="P73" s="11"/>
      <c r="Q73" s="67"/>
    </row>
    <row r="74" spans="1:17" x14ac:dyDescent="0.2">
      <c r="A74" s="67"/>
      <c r="B74" s="12"/>
      <c r="C74" s="10"/>
      <c r="D74" s="10"/>
      <c r="E74" s="10"/>
      <c r="F74" s="10"/>
      <c r="G74" s="10"/>
      <c r="H74" s="11"/>
      <c r="I74" s="67"/>
      <c r="J74" s="12"/>
      <c r="K74" s="10" t="s">
        <v>161</v>
      </c>
      <c r="L74" s="10"/>
      <c r="M74" s="10"/>
      <c r="N74" s="10"/>
      <c r="O74" s="10"/>
      <c r="P74" s="11"/>
      <c r="Q74" s="67"/>
    </row>
    <row r="75" spans="1:17" x14ac:dyDescent="0.2">
      <c r="A75" s="67"/>
      <c r="B75" s="12"/>
      <c r="C75" s="10"/>
      <c r="D75" s="10"/>
      <c r="E75" s="10"/>
      <c r="F75" s="10"/>
      <c r="G75" s="10"/>
      <c r="H75" s="11"/>
      <c r="I75" s="67"/>
      <c r="J75" s="12"/>
      <c r="K75" s="10" t="s">
        <v>162</v>
      </c>
      <c r="L75" s="10"/>
      <c r="M75" s="10"/>
      <c r="N75" s="10"/>
      <c r="O75" s="10"/>
      <c r="P75" s="11"/>
      <c r="Q75" s="67"/>
    </row>
    <row r="76" spans="1:17" x14ac:dyDescent="0.2">
      <c r="A76" s="67"/>
      <c r="B76" s="12"/>
      <c r="C76" s="10"/>
      <c r="D76" s="10"/>
      <c r="E76" s="10"/>
      <c r="F76" s="10"/>
      <c r="G76" s="10"/>
      <c r="H76" s="11"/>
      <c r="I76" s="67"/>
      <c r="J76" s="12"/>
      <c r="K76" s="10"/>
      <c r="L76" s="10"/>
      <c r="M76" s="10"/>
      <c r="N76" s="10"/>
      <c r="O76" s="10"/>
      <c r="P76" s="11"/>
      <c r="Q76" s="67"/>
    </row>
    <row r="77" spans="1:17" x14ac:dyDescent="0.2">
      <c r="A77" s="67"/>
      <c r="B77" s="12"/>
      <c r="C77" s="10"/>
      <c r="D77" s="10"/>
      <c r="E77" s="10"/>
      <c r="F77" s="10"/>
      <c r="G77" s="10"/>
      <c r="H77" s="11"/>
      <c r="I77" s="67"/>
      <c r="J77" s="12"/>
      <c r="K77" s="134"/>
      <c r="L77" s="10"/>
      <c r="M77" s="10"/>
      <c r="N77" s="10"/>
      <c r="O77" s="10"/>
      <c r="P77" s="11"/>
      <c r="Q77" s="67"/>
    </row>
    <row r="78" spans="1:17" x14ac:dyDescent="0.2">
      <c r="A78" s="67"/>
      <c r="B78" s="12"/>
      <c r="C78" s="10"/>
      <c r="D78" s="10"/>
      <c r="E78" s="10"/>
      <c r="F78" s="10"/>
      <c r="G78" s="10"/>
      <c r="H78" s="11"/>
      <c r="I78" s="67"/>
      <c r="J78" s="12"/>
      <c r="K78" s="10"/>
      <c r="L78" s="10"/>
      <c r="M78" s="10"/>
      <c r="N78" s="10"/>
      <c r="O78" s="10"/>
      <c r="P78" s="11"/>
      <c r="Q78" s="67"/>
    </row>
    <row r="79" spans="1:17" x14ac:dyDescent="0.2">
      <c r="A79" s="67"/>
      <c r="B79" s="12"/>
      <c r="C79" s="10"/>
      <c r="D79" s="10"/>
      <c r="E79" s="10"/>
      <c r="F79" s="10"/>
      <c r="G79" s="10"/>
      <c r="H79" s="11"/>
      <c r="I79" s="67"/>
      <c r="J79" s="12"/>
      <c r="K79" s="10"/>
      <c r="L79" s="10"/>
      <c r="M79" s="10"/>
      <c r="N79" s="10"/>
      <c r="O79" s="10"/>
      <c r="P79" s="11"/>
      <c r="Q79" s="67"/>
    </row>
    <row r="80" spans="1:17" x14ac:dyDescent="0.2">
      <c r="A80" s="67"/>
      <c r="B80" s="12"/>
      <c r="C80" s="10"/>
      <c r="D80" s="10"/>
      <c r="E80" s="10"/>
      <c r="F80" s="10"/>
      <c r="G80" s="10"/>
      <c r="H80" s="11"/>
      <c r="I80" s="67"/>
      <c r="J80" s="12"/>
      <c r="K80" s="10"/>
      <c r="L80" s="10"/>
      <c r="M80" s="10"/>
      <c r="N80" s="10"/>
      <c r="O80" s="10"/>
      <c r="P80" s="11"/>
      <c r="Q80" s="67"/>
    </row>
    <row r="81" spans="1:18" x14ac:dyDescent="0.2">
      <c r="A81" s="67"/>
      <c r="B81" s="3"/>
      <c r="C81" s="4"/>
      <c r="D81" s="4"/>
      <c r="E81" s="4"/>
      <c r="F81" s="4"/>
      <c r="G81" s="4"/>
      <c r="H81" s="9"/>
      <c r="I81" s="67"/>
      <c r="J81" s="12"/>
      <c r="K81" s="10"/>
      <c r="L81" s="10"/>
      <c r="M81" s="10"/>
      <c r="N81" s="10"/>
      <c r="O81" s="10"/>
      <c r="P81" s="11"/>
      <c r="Q81" s="67"/>
    </row>
    <row r="82" spans="1:18" x14ac:dyDescent="0.2">
      <c r="A82" s="67"/>
      <c r="B82" s="67"/>
      <c r="C82" s="67"/>
      <c r="D82" s="67"/>
      <c r="E82" s="67"/>
      <c r="F82" s="67"/>
      <c r="G82" s="67"/>
      <c r="H82" s="67"/>
      <c r="I82" s="67"/>
      <c r="J82" s="12"/>
      <c r="K82" s="10"/>
      <c r="L82" s="10"/>
      <c r="M82" s="10"/>
      <c r="N82" s="10"/>
      <c r="O82" s="10"/>
      <c r="P82" s="11"/>
      <c r="Q82" s="67"/>
    </row>
    <row r="83" spans="1:18" x14ac:dyDescent="0.2">
      <c r="A83" s="67"/>
      <c r="B83" s="13"/>
      <c r="C83" s="129" t="s">
        <v>176</v>
      </c>
      <c r="D83" s="14"/>
      <c r="E83" s="14"/>
      <c r="F83" s="14"/>
      <c r="G83" s="14"/>
      <c r="H83" s="16"/>
      <c r="I83" s="67"/>
      <c r="J83" s="12"/>
      <c r="K83" s="10"/>
      <c r="L83" s="10"/>
      <c r="M83" s="10"/>
      <c r="N83" s="10"/>
      <c r="O83" s="10"/>
      <c r="P83" s="11"/>
      <c r="Q83" s="67"/>
    </row>
    <row r="84" spans="1:18" x14ac:dyDescent="0.2">
      <c r="A84" s="67"/>
      <c r="B84" s="12"/>
      <c r="C84" s="10" t="s">
        <v>136</v>
      </c>
      <c r="D84" s="10"/>
      <c r="E84" s="10"/>
      <c r="F84" s="10"/>
      <c r="G84" s="10"/>
      <c r="H84" s="11"/>
      <c r="I84" s="67"/>
      <c r="J84" s="12"/>
      <c r="K84" s="10"/>
      <c r="L84" s="10"/>
      <c r="M84" s="10"/>
      <c r="N84" s="10"/>
      <c r="O84" s="10"/>
      <c r="P84" s="11"/>
      <c r="Q84" s="67"/>
    </row>
    <row r="85" spans="1:18" x14ac:dyDescent="0.2">
      <c r="A85" s="67"/>
      <c r="B85" s="12"/>
      <c r="C85" s="10" t="s">
        <v>122</v>
      </c>
      <c r="D85" s="10"/>
      <c r="E85" s="10"/>
      <c r="F85" s="10"/>
      <c r="G85" s="10"/>
      <c r="H85" s="11"/>
      <c r="I85" s="67"/>
      <c r="J85" s="12"/>
      <c r="K85" s="10"/>
      <c r="L85" s="10"/>
      <c r="M85" s="10"/>
      <c r="N85" s="10"/>
      <c r="O85" s="10"/>
      <c r="P85" s="11"/>
      <c r="Q85" s="67"/>
    </row>
    <row r="86" spans="1:18" x14ac:dyDescent="0.2">
      <c r="A86" s="67"/>
      <c r="B86" s="12"/>
      <c r="C86" s="10" t="s">
        <v>180</v>
      </c>
      <c r="D86" s="10"/>
      <c r="E86" s="10"/>
      <c r="F86" s="10"/>
      <c r="G86" s="10"/>
      <c r="H86" s="11"/>
      <c r="I86" s="67"/>
      <c r="J86" s="3"/>
      <c r="K86" s="4"/>
      <c r="L86" s="4"/>
      <c r="M86" s="4"/>
      <c r="N86" s="4"/>
      <c r="O86" s="4"/>
      <c r="P86" s="9"/>
      <c r="Q86" s="67"/>
    </row>
    <row r="87" spans="1:18" x14ac:dyDescent="0.2">
      <c r="A87" s="67"/>
      <c r="B87" s="12"/>
      <c r="C87" s="10" t="s">
        <v>177</v>
      </c>
      <c r="D87" s="10"/>
      <c r="E87" s="10"/>
      <c r="F87" s="10"/>
      <c r="G87" s="10"/>
      <c r="H87" s="11"/>
      <c r="I87" s="67"/>
      <c r="J87" s="67"/>
      <c r="K87" s="67"/>
      <c r="L87" s="67"/>
      <c r="M87" s="67"/>
      <c r="N87" s="67"/>
      <c r="O87" s="67"/>
      <c r="P87" s="67"/>
      <c r="Q87" s="67"/>
    </row>
    <row r="88" spans="1:18" x14ac:dyDescent="0.2">
      <c r="A88" s="67"/>
      <c r="B88" s="12"/>
      <c r="C88" s="10" t="s">
        <v>178</v>
      </c>
      <c r="D88" s="10"/>
      <c r="E88" s="10"/>
      <c r="F88" s="10"/>
      <c r="G88" s="10"/>
      <c r="H88" s="11"/>
      <c r="I88" s="67"/>
      <c r="J88" s="13"/>
      <c r="K88" s="129" t="s">
        <v>175</v>
      </c>
      <c r="L88" s="14"/>
      <c r="M88" s="14"/>
      <c r="N88" s="14"/>
      <c r="O88" s="14"/>
      <c r="P88" s="16"/>
      <c r="Q88" s="67"/>
    </row>
    <row r="89" spans="1:18" x14ac:dyDescent="0.2">
      <c r="A89" s="67"/>
      <c r="B89" s="12"/>
      <c r="C89" s="10" t="s">
        <v>179</v>
      </c>
      <c r="D89" s="10"/>
      <c r="E89" s="10"/>
      <c r="F89" s="10"/>
      <c r="G89" s="10"/>
      <c r="H89" s="11"/>
      <c r="I89" s="67"/>
      <c r="J89" s="12"/>
      <c r="K89" s="10" t="s">
        <v>136</v>
      </c>
      <c r="L89" s="10"/>
      <c r="M89" s="10"/>
      <c r="N89" s="10"/>
      <c r="O89" s="10"/>
      <c r="P89" s="11"/>
      <c r="Q89" s="10"/>
      <c r="R89" s="1"/>
    </row>
    <row r="90" spans="1:18" x14ac:dyDescent="0.2">
      <c r="A90" s="67"/>
      <c r="B90" s="12"/>
      <c r="C90" s="10"/>
      <c r="D90" s="10"/>
      <c r="E90" s="10"/>
      <c r="F90" s="10"/>
      <c r="G90" s="10"/>
      <c r="H90" s="11"/>
      <c r="I90" s="67"/>
      <c r="J90" s="12"/>
      <c r="K90" s="10" t="s">
        <v>186</v>
      </c>
      <c r="L90" s="10"/>
      <c r="M90" s="10"/>
      <c r="N90" s="10"/>
      <c r="O90" s="10"/>
      <c r="P90" s="11"/>
      <c r="Q90" s="10"/>
      <c r="R90" s="1"/>
    </row>
    <row r="91" spans="1:18" x14ac:dyDescent="0.2">
      <c r="A91" s="67"/>
      <c r="B91" s="12"/>
      <c r="C91" s="10" t="s">
        <v>182</v>
      </c>
      <c r="D91" s="10"/>
      <c r="E91" s="10"/>
      <c r="F91" s="10"/>
      <c r="G91" s="10"/>
      <c r="H91" s="11"/>
      <c r="I91" s="67"/>
      <c r="J91" s="12"/>
      <c r="K91" s="10" t="s">
        <v>172</v>
      </c>
      <c r="L91" s="10"/>
      <c r="M91" s="10"/>
      <c r="N91" s="10"/>
      <c r="O91" s="10"/>
      <c r="P91" s="11"/>
      <c r="Q91" s="67"/>
    </row>
    <row r="92" spans="1:18" x14ac:dyDescent="0.2">
      <c r="A92" s="67"/>
      <c r="B92" s="12"/>
      <c r="C92" s="10" t="s">
        <v>183</v>
      </c>
      <c r="D92" s="10"/>
      <c r="E92" s="10"/>
      <c r="F92" s="10"/>
      <c r="G92" s="10"/>
      <c r="H92" s="11"/>
      <c r="I92" s="67"/>
      <c r="J92" s="12"/>
      <c r="K92" s="10" t="s">
        <v>130</v>
      </c>
      <c r="L92" s="10"/>
      <c r="M92" s="10"/>
      <c r="N92" s="10"/>
      <c r="O92" s="10"/>
      <c r="P92" s="11"/>
      <c r="Q92" s="67"/>
    </row>
    <row r="93" spans="1:18" x14ac:dyDescent="0.2">
      <c r="A93" s="67"/>
      <c r="B93" s="12"/>
      <c r="C93" s="10" t="s">
        <v>184</v>
      </c>
      <c r="D93" s="10"/>
      <c r="E93" s="10"/>
      <c r="F93" s="10"/>
      <c r="G93" s="10"/>
      <c r="H93" s="11"/>
      <c r="I93" s="67"/>
      <c r="J93" s="12"/>
      <c r="K93" s="10"/>
      <c r="L93" s="10"/>
      <c r="M93" s="10"/>
      <c r="N93" s="10"/>
      <c r="O93" s="10"/>
      <c r="P93" s="11"/>
      <c r="Q93" s="67"/>
    </row>
    <row r="94" spans="1:18" x14ac:dyDescent="0.2">
      <c r="A94" s="67"/>
      <c r="B94" s="12"/>
      <c r="C94" s="10" t="s">
        <v>193</v>
      </c>
      <c r="D94" s="10"/>
      <c r="E94" s="10"/>
      <c r="F94" s="10"/>
      <c r="G94" s="10"/>
      <c r="H94" s="11"/>
      <c r="I94" s="67"/>
      <c r="J94" s="12"/>
      <c r="K94" s="10" t="s">
        <v>181</v>
      </c>
      <c r="L94" s="10"/>
      <c r="M94" s="10"/>
      <c r="N94" s="10"/>
      <c r="O94" s="10"/>
      <c r="P94" s="11"/>
      <c r="Q94" s="67"/>
    </row>
    <row r="95" spans="1:18" x14ac:dyDescent="0.2">
      <c r="A95" s="67"/>
      <c r="B95" s="12"/>
      <c r="C95" s="10"/>
      <c r="D95" s="10"/>
      <c r="E95" s="10"/>
      <c r="F95" s="10"/>
      <c r="G95" s="10"/>
      <c r="H95" s="11"/>
      <c r="I95" s="67"/>
      <c r="J95" s="12"/>
      <c r="K95" s="10" t="s">
        <v>173</v>
      </c>
      <c r="L95" s="10"/>
      <c r="M95" s="10"/>
      <c r="N95" s="10"/>
      <c r="O95" s="10"/>
      <c r="P95" s="11"/>
      <c r="Q95" s="67"/>
    </row>
    <row r="96" spans="1:18" ht="16" x14ac:dyDescent="0.2">
      <c r="A96" s="67"/>
      <c r="B96" s="12"/>
      <c r="C96" s="131"/>
      <c r="D96" s="10"/>
      <c r="E96" s="10"/>
      <c r="F96" s="10"/>
      <c r="G96" s="10"/>
      <c r="H96" s="11"/>
      <c r="I96" s="67"/>
      <c r="J96" s="12"/>
      <c r="K96" s="10" t="s">
        <v>174</v>
      </c>
      <c r="L96" s="10"/>
      <c r="M96" s="10"/>
      <c r="N96" s="10"/>
      <c r="O96" s="10"/>
      <c r="P96" s="11"/>
      <c r="Q96" s="67"/>
    </row>
    <row r="97" spans="1:17" x14ac:dyDescent="0.2">
      <c r="A97" s="67"/>
      <c r="B97" s="12"/>
      <c r="C97" s="10"/>
      <c r="D97" s="10"/>
      <c r="E97" s="10"/>
      <c r="F97" s="10"/>
      <c r="G97" s="10"/>
      <c r="H97" s="11"/>
      <c r="I97" s="67"/>
      <c r="J97" s="12"/>
      <c r="K97" s="10"/>
      <c r="L97" s="10"/>
      <c r="M97" s="10"/>
      <c r="N97" s="10"/>
      <c r="O97" s="10"/>
      <c r="P97" s="11"/>
      <c r="Q97" s="67"/>
    </row>
    <row r="98" spans="1:17" x14ac:dyDescent="0.2">
      <c r="A98" s="67"/>
      <c r="B98" s="12"/>
      <c r="C98" s="10"/>
      <c r="D98" s="10"/>
      <c r="E98" s="10"/>
      <c r="F98" s="10"/>
      <c r="G98" s="10"/>
      <c r="H98" s="11"/>
      <c r="I98" s="67"/>
      <c r="J98" s="12"/>
      <c r="K98" s="136"/>
      <c r="L98" s="10"/>
      <c r="M98" s="10"/>
      <c r="N98" s="10"/>
      <c r="O98" s="10"/>
      <c r="P98" s="11"/>
      <c r="Q98" s="67"/>
    </row>
    <row r="99" spans="1:17" x14ac:dyDescent="0.2">
      <c r="A99" s="67"/>
      <c r="B99" s="12"/>
      <c r="C99" s="10"/>
      <c r="D99" s="10"/>
      <c r="E99" s="10"/>
      <c r="F99" s="10"/>
      <c r="G99" s="10"/>
      <c r="H99" s="11"/>
      <c r="I99" s="67"/>
      <c r="J99" s="12"/>
      <c r="K99" s="10"/>
      <c r="L99" s="10"/>
      <c r="M99" s="10"/>
      <c r="N99" s="10"/>
      <c r="O99" s="10"/>
      <c r="P99" s="11"/>
      <c r="Q99" s="67"/>
    </row>
    <row r="100" spans="1:17" x14ac:dyDescent="0.2">
      <c r="A100" s="67"/>
      <c r="B100" s="12"/>
      <c r="C100" s="10"/>
      <c r="D100" s="10"/>
      <c r="E100" s="10"/>
      <c r="F100" s="10"/>
      <c r="G100" s="10"/>
      <c r="H100" s="11"/>
      <c r="I100" s="67"/>
      <c r="J100" s="12"/>
      <c r="K100" s="10"/>
      <c r="L100" s="10"/>
      <c r="M100" s="10"/>
      <c r="N100" s="10"/>
      <c r="O100" s="10"/>
      <c r="P100" s="11"/>
      <c r="Q100" s="67"/>
    </row>
    <row r="101" spans="1:17" x14ac:dyDescent="0.2">
      <c r="A101" s="67"/>
      <c r="B101" s="12"/>
      <c r="C101" s="10"/>
      <c r="D101" s="10"/>
      <c r="E101" s="10"/>
      <c r="F101" s="10"/>
      <c r="G101" s="10"/>
      <c r="H101" s="11"/>
      <c r="I101" s="67"/>
      <c r="J101" s="12"/>
      <c r="K101" s="10"/>
      <c r="L101" s="10"/>
      <c r="M101" s="10"/>
      <c r="N101" s="10"/>
      <c r="O101" s="10"/>
      <c r="P101" s="11"/>
      <c r="Q101" s="67"/>
    </row>
    <row r="102" spans="1:17" x14ac:dyDescent="0.2">
      <c r="A102" s="67"/>
      <c r="B102" s="12"/>
      <c r="C102" s="10"/>
      <c r="D102" s="10"/>
      <c r="E102" s="10"/>
      <c r="F102" s="10"/>
      <c r="G102" s="10"/>
      <c r="H102" s="11"/>
      <c r="I102" s="67"/>
      <c r="J102" s="12"/>
      <c r="K102" s="10"/>
      <c r="L102" s="10"/>
      <c r="M102" s="10"/>
      <c r="N102" s="10"/>
      <c r="O102" s="10"/>
      <c r="P102" s="11"/>
      <c r="Q102" s="67"/>
    </row>
    <row r="103" spans="1:17" x14ac:dyDescent="0.2">
      <c r="A103" s="67"/>
      <c r="B103" s="12"/>
      <c r="C103" s="10"/>
      <c r="D103" s="10"/>
      <c r="E103" s="10"/>
      <c r="F103" s="10"/>
      <c r="G103" s="10"/>
      <c r="H103" s="11"/>
      <c r="I103" s="67"/>
      <c r="J103" s="12"/>
      <c r="K103" s="10"/>
      <c r="L103" s="10"/>
      <c r="M103" s="10"/>
      <c r="N103" s="10"/>
      <c r="O103" s="10"/>
      <c r="P103" s="11"/>
      <c r="Q103" s="67"/>
    </row>
    <row r="104" spans="1:17" x14ac:dyDescent="0.2">
      <c r="A104" s="67"/>
      <c r="B104" s="12"/>
      <c r="C104" s="10"/>
      <c r="D104" s="10"/>
      <c r="E104" s="10"/>
      <c r="F104" s="10"/>
      <c r="G104" s="10"/>
      <c r="H104" s="11"/>
      <c r="I104" s="67"/>
      <c r="J104" s="12"/>
      <c r="K104" s="10"/>
      <c r="L104" s="10"/>
      <c r="M104" s="10"/>
      <c r="N104" s="10"/>
      <c r="O104" s="10"/>
      <c r="P104" s="11"/>
      <c r="Q104" s="67"/>
    </row>
    <row r="105" spans="1:17" x14ac:dyDescent="0.2">
      <c r="A105" s="67"/>
      <c r="B105" s="12"/>
      <c r="C105" s="10"/>
      <c r="D105" s="10"/>
      <c r="E105" s="10"/>
      <c r="F105" s="10"/>
      <c r="G105" s="10"/>
      <c r="H105" s="11"/>
      <c r="I105" s="67"/>
      <c r="J105" s="12"/>
      <c r="K105" s="10"/>
      <c r="L105" s="10"/>
      <c r="M105" s="10"/>
      <c r="N105" s="10"/>
      <c r="O105" s="10"/>
      <c r="P105" s="11"/>
      <c r="Q105" s="67"/>
    </row>
    <row r="106" spans="1:17" x14ac:dyDescent="0.2">
      <c r="A106" s="67"/>
      <c r="B106" s="3"/>
      <c r="C106" s="4"/>
      <c r="D106" s="4"/>
      <c r="E106" s="4"/>
      <c r="F106" s="4"/>
      <c r="G106" s="4"/>
      <c r="H106" s="9"/>
      <c r="I106" s="67"/>
      <c r="J106" s="12"/>
      <c r="K106" s="10"/>
      <c r="L106" s="10"/>
      <c r="M106" s="10"/>
      <c r="N106" s="10"/>
      <c r="O106" s="10"/>
      <c r="P106" s="11"/>
      <c r="Q106" s="67"/>
    </row>
    <row r="107" spans="1:17" x14ac:dyDescent="0.2">
      <c r="A107" s="67"/>
      <c r="B107" s="67"/>
      <c r="C107" s="67"/>
      <c r="D107" s="67"/>
      <c r="E107" s="67"/>
      <c r="F107" s="67"/>
      <c r="G107" s="67"/>
      <c r="H107" s="67"/>
      <c r="I107" s="67"/>
      <c r="J107" s="12"/>
      <c r="K107" s="10"/>
      <c r="L107" s="10"/>
      <c r="M107" s="10"/>
      <c r="N107" s="10"/>
      <c r="O107" s="10"/>
      <c r="P107" s="11"/>
      <c r="Q107" s="67"/>
    </row>
    <row r="108" spans="1:17" x14ac:dyDescent="0.2">
      <c r="A108" s="67"/>
      <c r="B108" s="13"/>
      <c r="C108" s="129" t="s">
        <v>185</v>
      </c>
      <c r="D108" s="14"/>
      <c r="E108" s="14"/>
      <c r="F108" s="14"/>
      <c r="G108" s="14"/>
      <c r="H108" s="16"/>
      <c r="I108" s="67"/>
      <c r="J108" s="12"/>
      <c r="K108" s="10"/>
      <c r="L108" s="10"/>
      <c r="M108" s="10"/>
      <c r="N108" s="10"/>
      <c r="O108" s="10"/>
      <c r="P108" s="11"/>
      <c r="Q108" s="67"/>
    </row>
    <row r="109" spans="1:17" x14ac:dyDescent="0.2">
      <c r="A109" s="67"/>
      <c r="B109" s="12"/>
      <c r="C109" s="10" t="s">
        <v>136</v>
      </c>
      <c r="D109" s="10"/>
      <c r="E109" s="10"/>
      <c r="F109" s="10"/>
      <c r="G109" s="10"/>
      <c r="H109" s="11"/>
      <c r="I109" s="67"/>
      <c r="J109" s="3"/>
      <c r="K109" s="4"/>
      <c r="L109" s="4"/>
      <c r="M109" s="4"/>
      <c r="N109" s="4"/>
      <c r="O109" s="4"/>
      <c r="P109" s="9"/>
      <c r="Q109" s="67"/>
    </row>
    <row r="110" spans="1:17" x14ac:dyDescent="0.2">
      <c r="A110" s="67"/>
      <c r="B110" s="12"/>
      <c r="C110" s="10" t="s">
        <v>157</v>
      </c>
      <c r="D110" s="10"/>
      <c r="E110" s="10"/>
      <c r="F110" s="10"/>
      <c r="G110" s="10"/>
      <c r="H110" s="11"/>
      <c r="I110" s="67"/>
      <c r="J110" s="67"/>
      <c r="K110" s="67"/>
      <c r="L110" s="67"/>
      <c r="M110" s="67"/>
      <c r="N110" s="67"/>
      <c r="O110" s="67"/>
      <c r="P110" s="67"/>
      <c r="Q110" s="67"/>
    </row>
    <row r="111" spans="1:17" x14ac:dyDescent="0.2">
      <c r="A111" s="67"/>
      <c r="B111" s="12"/>
      <c r="C111" s="10" t="s">
        <v>112</v>
      </c>
      <c r="D111" s="10"/>
      <c r="E111" s="10"/>
      <c r="F111" s="10"/>
      <c r="G111" s="10"/>
      <c r="H111" s="11"/>
      <c r="I111" s="67"/>
      <c r="J111" s="13"/>
      <c r="K111" s="129" t="s">
        <v>188</v>
      </c>
      <c r="L111" s="14"/>
      <c r="M111" s="14"/>
      <c r="N111" s="14"/>
      <c r="O111" s="14"/>
      <c r="P111" s="16"/>
      <c r="Q111" s="67"/>
    </row>
    <row r="112" spans="1:17" x14ac:dyDescent="0.2">
      <c r="A112" s="67"/>
      <c r="B112" s="12"/>
      <c r="C112" s="10"/>
      <c r="D112" s="10"/>
      <c r="E112" s="10"/>
      <c r="F112" s="10"/>
      <c r="G112" s="10"/>
      <c r="H112" s="11"/>
      <c r="I112" s="67"/>
      <c r="J112" s="12"/>
      <c r="K112" s="10" t="s">
        <v>136</v>
      </c>
      <c r="L112" s="10"/>
      <c r="M112" s="10"/>
      <c r="N112" s="10"/>
      <c r="O112" s="10"/>
      <c r="P112" s="11"/>
      <c r="Q112" s="67"/>
    </row>
    <row r="113" spans="1:17" x14ac:dyDescent="0.2">
      <c r="A113" s="67"/>
      <c r="B113" s="12"/>
      <c r="C113" s="10" t="s">
        <v>181</v>
      </c>
      <c r="D113" s="10"/>
      <c r="E113" s="10"/>
      <c r="F113" s="10"/>
      <c r="G113" s="10"/>
      <c r="H113" s="11"/>
      <c r="I113" s="67"/>
      <c r="J113" s="12"/>
      <c r="K113" s="10" t="s">
        <v>115</v>
      </c>
      <c r="L113" s="10"/>
      <c r="M113" s="10"/>
      <c r="N113" s="10"/>
      <c r="O113" s="10"/>
      <c r="P113" s="11"/>
      <c r="Q113" s="67"/>
    </row>
    <row r="114" spans="1:17" x14ac:dyDescent="0.2">
      <c r="A114" s="67"/>
      <c r="B114" s="12"/>
      <c r="C114" s="10" t="s">
        <v>187</v>
      </c>
      <c r="D114" s="10"/>
      <c r="E114" s="10"/>
      <c r="F114" s="10"/>
      <c r="G114" s="10"/>
      <c r="H114" s="11"/>
      <c r="I114" s="67"/>
      <c r="J114" s="12"/>
      <c r="K114" s="10" t="s">
        <v>189</v>
      </c>
      <c r="L114" s="10"/>
      <c r="M114" s="10"/>
      <c r="N114" s="10"/>
      <c r="O114" s="10"/>
      <c r="P114" s="11"/>
      <c r="Q114" s="67"/>
    </row>
    <row r="115" spans="1:17" x14ac:dyDescent="0.2">
      <c r="A115" s="67"/>
      <c r="B115" s="12"/>
      <c r="C115" s="10"/>
      <c r="D115" s="10"/>
      <c r="E115" s="10"/>
      <c r="F115" s="10"/>
      <c r="G115" s="10"/>
      <c r="H115" s="11"/>
      <c r="I115" s="67"/>
      <c r="J115" s="12"/>
      <c r="K115" s="10" t="s">
        <v>112</v>
      </c>
      <c r="L115" s="10"/>
      <c r="M115" s="10"/>
      <c r="N115" s="10"/>
      <c r="O115" s="10"/>
      <c r="P115" s="11"/>
      <c r="Q115" s="67"/>
    </row>
    <row r="116" spans="1:17" x14ac:dyDescent="0.2">
      <c r="A116" s="67"/>
      <c r="B116" s="12"/>
      <c r="C116" s="10"/>
      <c r="D116" s="10"/>
      <c r="E116" s="10"/>
      <c r="F116" s="10"/>
      <c r="G116" s="10"/>
      <c r="H116" s="11"/>
      <c r="I116" s="67"/>
      <c r="J116" s="12"/>
      <c r="K116" s="10" t="s">
        <v>179</v>
      </c>
      <c r="L116" s="10"/>
      <c r="M116" s="10"/>
      <c r="N116" s="10"/>
      <c r="O116" s="10"/>
      <c r="P116" s="11"/>
      <c r="Q116" s="67"/>
    </row>
    <row r="117" spans="1:17" x14ac:dyDescent="0.2">
      <c r="A117" s="67"/>
      <c r="B117" s="12"/>
      <c r="C117" s="10"/>
      <c r="D117" s="10"/>
      <c r="E117" s="10"/>
      <c r="F117" s="10"/>
      <c r="G117" s="10"/>
      <c r="H117" s="11"/>
      <c r="I117" s="67"/>
      <c r="J117" s="12"/>
      <c r="K117" s="10"/>
      <c r="L117" s="10"/>
      <c r="M117" s="10"/>
      <c r="N117" s="10"/>
      <c r="O117" s="10"/>
      <c r="P117" s="11"/>
      <c r="Q117" s="67"/>
    </row>
    <row r="118" spans="1:17" x14ac:dyDescent="0.2">
      <c r="A118" s="67"/>
      <c r="B118" s="12"/>
      <c r="C118" s="10"/>
      <c r="D118" s="10"/>
      <c r="E118" s="10"/>
      <c r="F118" s="10"/>
      <c r="G118" s="10"/>
      <c r="H118" s="11"/>
      <c r="I118" s="67"/>
      <c r="J118" s="12"/>
      <c r="K118" s="10" t="s">
        <v>181</v>
      </c>
      <c r="L118" s="10"/>
      <c r="M118" s="10"/>
      <c r="N118" s="10"/>
      <c r="O118" s="10"/>
      <c r="P118" s="11"/>
      <c r="Q118" s="67"/>
    </row>
    <row r="119" spans="1:17" x14ac:dyDescent="0.2">
      <c r="A119" s="67"/>
      <c r="B119" s="12"/>
      <c r="C119" s="10"/>
      <c r="D119" s="10"/>
      <c r="E119" s="10"/>
      <c r="F119" s="10"/>
      <c r="G119" s="10"/>
      <c r="H119" s="11"/>
      <c r="I119" s="67"/>
      <c r="J119" s="12"/>
      <c r="K119" s="10" t="s">
        <v>190</v>
      </c>
      <c r="L119" s="10"/>
      <c r="M119" s="10"/>
      <c r="N119" s="10"/>
      <c r="O119" s="10"/>
      <c r="P119" s="11"/>
      <c r="Q119" s="67"/>
    </row>
    <row r="120" spans="1:17" x14ac:dyDescent="0.2">
      <c r="A120" s="67"/>
      <c r="B120" s="12"/>
      <c r="C120" s="10"/>
      <c r="D120" s="10"/>
      <c r="E120" s="10"/>
      <c r="F120" s="10"/>
      <c r="G120" s="10"/>
      <c r="H120" s="11"/>
      <c r="I120" s="67"/>
      <c r="J120" s="12"/>
      <c r="K120" s="10" t="s">
        <v>191</v>
      </c>
      <c r="L120" s="10"/>
      <c r="M120" s="10"/>
      <c r="N120" s="10"/>
      <c r="O120" s="10"/>
      <c r="P120" s="11"/>
      <c r="Q120" s="67"/>
    </row>
    <row r="121" spans="1:17" x14ac:dyDescent="0.2">
      <c r="A121" s="67"/>
      <c r="B121" s="12"/>
      <c r="C121" s="10"/>
      <c r="D121" s="10"/>
      <c r="E121" s="10"/>
      <c r="F121" s="10"/>
      <c r="G121" s="10"/>
      <c r="H121" s="11"/>
      <c r="I121" s="67"/>
      <c r="J121" s="12"/>
      <c r="K121" s="10" t="s">
        <v>192</v>
      </c>
      <c r="L121" s="10"/>
      <c r="M121" s="10"/>
      <c r="N121" s="10"/>
      <c r="O121" s="10"/>
      <c r="P121" s="11"/>
      <c r="Q121" s="67"/>
    </row>
    <row r="122" spans="1:17" x14ac:dyDescent="0.2">
      <c r="A122" s="67"/>
      <c r="B122" s="12"/>
      <c r="C122" s="10"/>
      <c r="D122" s="10"/>
      <c r="E122" s="10"/>
      <c r="F122" s="10"/>
      <c r="G122" s="10"/>
      <c r="H122" s="11"/>
      <c r="I122" s="67"/>
      <c r="J122" s="12"/>
      <c r="K122" s="10"/>
      <c r="L122" s="10"/>
      <c r="M122" s="10"/>
      <c r="N122" s="10"/>
      <c r="O122" s="10"/>
      <c r="P122" s="11"/>
      <c r="Q122" s="67"/>
    </row>
    <row r="123" spans="1:17" x14ac:dyDescent="0.2">
      <c r="A123" s="67"/>
      <c r="B123" s="12"/>
      <c r="C123" s="10"/>
      <c r="D123" s="10"/>
      <c r="E123" s="10"/>
      <c r="F123" s="10"/>
      <c r="G123" s="10"/>
      <c r="H123" s="11"/>
      <c r="I123" s="67"/>
      <c r="J123" s="12"/>
      <c r="K123" s="10"/>
      <c r="L123" s="10"/>
      <c r="M123" s="10"/>
      <c r="N123" s="10"/>
      <c r="O123" s="10"/>
      <c r="P123" s="11"/>
      <c r="Q123" s="67"/>
    </row>
    <row r="124" spans="1:17" x14ac:dyDescent="0.2">
      <c r="A124" s="67"/>
      <c r="B124" s="3"/>
      <c r="C124" s="4"/>
      <c r="D124" s="4"/>
      <c r="E124" s="4"/>
      <c r="F124" s="4"/>
      <c r="G124" s="4"/>
      <c r="H124" s="9"/>
      <c r="I124" s="67"/>
      <c r="J124" s="12"/>
      <c r="K124" s="10"/>
      <c r="L124" s="10"/>
      <c r="M124" s="10"/>
      <c r="N124" s="10"/>
      <c r="O124" s="10"/>
      <c r="P124" s="11"/>
      <c r="Q124" s="67"/>
    </row>
    <row r="125" spans="1:17" x14ac:dyDescent="0.2">
      <c r="A125" s="67"/>
      <c r="B125" s="67"/>
      <c r="C125" s="67"/>
      <c r="D125" s="67"/>
      <c r="E125" s="67"/>
      <c r="F125" s="67"/>
      <c r="G125" s="67"/>
      <c r="H125" s="67"/>
      <c r="I125" s="67"/>
      <c r="J125" s="12"/>
      <c r="K125" s="10"/>
      <c r="L125" s="10"/>
      <c r="M125" s="10"/>
      <c r="N125" s="10"/>
      <c r="O125" s="10"/>
      <c r="P125" s="11"/>
      <c r="Q125" s="67"/>
    </row>
    <row r="126" spans="1:17" x14ac:dyDescent="0.2">
      <c r="A126" s="67"/>
      <c r="B126" s="13"/>
      <c r="C126" s="129" t="s">
        <v>194</v>
      </c>
      <c r="D126" s="14"/>
      <c r="E126" s="14"/>
      <c r="F126" s="14"/>
      <c r="G126" s="14"/>
      <c r="H126" s="16"/>
      <c r="I126" s="67"/>
      <c r="J126" s="12"/>
      <c r="K126" s="10"/>
      <c r="L126" s="10"/>
      <c r="M126" s="10"/>
      <c r="N126" s="10"/>
      <c r="O126" s="10"/>
      <c r="P126" s="11"/>
      <c r="Q126" s="67"/>
    </row>
    <row r="127" spans="1:17" x14ac:dyDescent="0.2">
      <c r="A127" s="67"/>
      <c r="B127" s="12"/>
      <c r="C127" s="10" t="s">
        <v>136</v>
      </c>
      <c r="D127" s="10"/>
      <c r="E127" s="10"/>
      <c r="F127" s="10"/>
      <c r="G127" s="10"/>
      <c r="H127" s="11"/>
      <c r="I127" s="67"/>
      <c r="J127" s="12"/>
      <c r="K127" s="10"/>
      <c r="L127" s="10"/>
      <c r="M127" s="10"/>
      <c r="N127" s="10"/>
      <c r="O127" s="10"/>
      <c r="P127" s="11"/>
      <c r="Q127" s="67"/>
    </row>
    <row r="128" spans="1:17" x14ac:dyDescent="0.2">
      <c r="A128" s="67"/>
      <c r="B128" s="12"/>
      <c r="C128" s="10" t="s">
        <v>195</v>
      </c>
      <c r="D128" s="10"/>
      <c r="E128" s="10"/>
      <c r="F128" s="10"/>
      <c r="G128" s="10"/>
      <c r="H128" s="11"/>
      <c r="I128" s="67"/>
      <c r="J128" s="12"/>
      <c r="K128" s="10"/>
      <c r="L128" s="10"/>
      <c r="M128" s="10"/>
      <c r="N128" s="10"/>
      <c r="O128" s="10"/>
      <c r="P128" s="11"/>
      <c r="Q128" s="67"/>
    </row>
    <row r="129" spans="1:17" x14ac:dyDescent="0.2">
      <c r="A129" s="67"/>
      <c r="B129" s="12"/>
      <c r="C129" s="10" t="s">
        <v>157</v>
      </c>
      <c r="D129" s="10"/>
      <c r="E129" s="10"/>
      <c r="F129" s="10"/>
      <c r="G129" s="10"/>
      <c r="H129" s="11"/>
      <c r="I129" s="67"/>
      <c r="J129" s="12"/>
      <c r="K129" s="10"/>
      <c r="L129" s="10"/>
      <c r="M129" s="10"/>
      <c r="N129" s="10"/>
      <c r="O129" s="10"/>
      <c r="P129" s="11"/>
      <c r="Q129" s="67"/>
    </row>
    <row r="130" spans="1:17" x14ac:dyDescent="0.2">
      <c r="A130" s="67"/>
      <c r="B130" s="12"/>
      <c r="C130" s="10" t="s">
        <v>196</v>
      </c>
      <c r="D130" s="10"/>
      <c r="E130" s="10"/>
      <c r="F130" s="10"/>
      <c r="G130" s="10"/>
      <c r="H130" s="11"/>
      <c r="I130" s="67"/>
      <c r="J130" s="12"/>
      <c r="K130" s="10"/>
      <c r="L130" s="10"/>
      <c r="M130" s="10"/>
      <c r="N130" s="10"/>
      <c r="O130" s="10"/>
      <c r="P130" s="11"/>
      <c r="Q130" s="67"/>
    </row>
    <row r="131" spans="1:17" x14ac:dyDescent="0.2">
      <c r="A131" s="67"/>
      <c r="B131" s="12"/>
      <c r="C131" s="49" t="s">
        <v>199</v>
      </c>
      <c r="D131" s="10"/>
      <c r="E131" s="10"/>
      <c r="F131" s="10"/>
      <c r="G131" s="10"/>
      <c r="H131" s="11"/>
      <c r="I131" s="67"/>
      <c r="J131" s="12"/>
      <c r="K131" s="10"/>
      <c r="L131" s="10"/>
      <c r="M131" s="10"/>
      <c r="N131" s="10"/>
      <c r="O131" s="10"/>
      <c r="P131" s="11"/>
      <c r="Q131" s="67"/>
    </row>
    <row r="132" spans="1:17" x14ac:dyDescent="0.2">
      <c r="A132" s="67"/>
      <c r="B132" s="12"/>
      <c r="C132" s="10"/>
      <c r="D132" s="10"/>
      <c r="E132" s="10"/>
      <c r="F132" s="10"/>
      <c r="G132" s="10"/>
      <c r="H132" s="11"/>
      <c r="I132" s="67"/>
      <c r="J132" s="3"/>
      <c r="K132" s="4"/>
      <c r="L132" s="4"/>
      <c r="M132" s="4"/>
      <c r="N132" s="4"/>
      <c r="O132" s="4"/>
      <c r="P132" s="9"/>
      <c r="Q132" s="67"/>
    </row>
    <row r="133" spans="1:17" x14ac:dyDescent="0.2">
      <c r="A133" s="67"/>
      <c r="B133" s="12"/>
      <c r="C133" s="10" t="s">
        <v>197</v>
      </c>
      <c r="D133" s="10"/>
      <c r="E133" s="10"/>
      <c r="F133" s="10"/>
      <c r="G133" s="10"/>
      <c r="H133" s="11"/>
      <c r="I133" s="67"/>
      <c r="J133" s="67"/>
      <c r="K133" s="67"/>
      <c r="L133" s="67"/>
      <c r="M133" s="67"/>
      <c r="N133" s="67"/>
      <c r="O133" s="67"/>
      <c r="P133" s="67"/>
      <c r="Q133" s="67"/>
    </row>
    <row r="134" spans="1:17" x14ac:dyDescent="0.2">
      <c r="A134" s="67"/>
      <c r="B134" s="12"/>
      <c r="C134" s="10" t="s">
        <v>198</v>
      </c>
      <c r="D134" s="10"/>
      <c r="E134" s="10"/>
      <c r="F134" s="10"/>
      <c r="G134" s="10"/>
      <c r="H134" s="11"/>
      <c r="I134" s="67"/>
      <c r="J134" s="13"/>
      <c r="K134" s="129" t="s">
        <v>123</v>
      </c>
      <c r="L134" s="14"/>
      <c r="M134" s="14"/>
      <c r="N134" s="14"/>
      <c r="O134" s="14"/>
      <c r="P134" s="16"/>
      <c r="Q134" s="67"/>
    </row>
    <row r="135" spans="1:17" x14ac:dyDescent="0.2">
      <c r="A135" s="67"/>
      <c r="B135" s="12"/>
      <c r="C135" s="10"/>
      <c r="D135" s="10"/>
      <c r="E135" s="10"/>
      <c r="F135" s="10"/>
      <c r="G135" s="10"/>
      <c r="H135" s="11"/>
      <c r="I135" s="67"/>
      <c r="J135" s="12"/>
      <c r="K135" s="10" t="s">
        <v>136</v>
      </c>
      <c r="L135" s="10"/>
      <c r="M135" s="10"/>
      <c r="N135" s="10"/>
      <c r="O135" s="10"/>
      <c r="P135" s="11"/>
      <c r="Q135" s="67"/>
    </row>
    <row r="136" spans="1:17" x14ac:dyDescent="0.2">
      <c r="A136" s="67"/>
      <c r="B136" s="12"/>
      <c r="C136" s="10"/>
      <c r="D136" s="10"/>
      <c r="E136" s="10"/>
      <c r="F136" s="10"/>
      <c r="G136" s="10"/>
      <c r="H136" s="11"/>
      <c r="I136" s="67"/>
      <c r="J136" s="12"/>
      <c r="K136" s="10" t="s">
        <v>115</v>
      </c>
      <c r="L136" s="10"/>
      <c r="M136" s="10"/>
      <c r="N136" s="10"/>
      <c r="O136" s="10"/>
      <c r="P136" s="11"/>
      <c r="Q136" s="67"/>
    </row>
    <row r="137" spans="1:17" x14ac:dyDescent="0.2">
      <c r="A137" s="67"/>
      <c r="B137" s="12"/>
      <c r="C137" s="137"/>
      <c r="D137" s="10"/>
      <c r="E137" s="10"/>
      <c r="F137" s="10"/>
      <c r="G137" s="10"/>
      <c r="H137" s="11"/>
      <c r="I137" s="67"/>
      <c r="J137" s="12"/>
      <c r="K137" s="10" t="s">
        <v>116</v>
      </c>
      <c r="L137" s="10"/>
      <c r="M137" s="10"/>
      <c r="N137" s="10"/>
      <c r="O137" s="10"/>
      <c r="P137" s="11"/>
      <c r="Q137" s="67"/>
    </row>
    <row r="138" spans="1:17" x14ac:dyDescent="0.2">
      <c r="A138" s="67"/>
      <c r="B138" s="12"/>
      <c r="C138" s="10"/>
      <c r="D138" s="10"/>
      <c r="E138" s="10"/>
      <c r="F138" s="10"/>
      <c r="G138" s="10"/>
      <c r="H138" s="11"/>
      <c r="I138" s="67"/>
      <c r="J138" s="12"/>
      <c r="K138" s="10" t="s">
        <v>122</v>
      </c>
      <c r="L138" s="10"/>
      <c r="M138" s="10"/>
      <c r="N138" s="10"/>
      <c r="O138" s="10"/>
      <c r="P138" s="11"/>
      <c r="Q138" s="67"/>
    </row>
    <row r="139" spans="1:17" x14ac:dyDescent="0.2">
      <c r="A139" s="67"/>
      <c r="B139" s="12"/>
      <c r="C139" s="10"/>
      <c r="D139" s="10"/>
      <c r="E139" s="10"/>
      <c r="F139" s="10"/>
      <c r="G139" s="10"/>
      <c r="H139" s="11"/>
      <c r="I139" s="67"/>
      <c r="J139" s="12"/>
      <c r="K139" s="10" t="s">
        <v>117</v>
      </c>
      <c r="L139" s="10"/>
      <c r="M139" s="10"/>
      <c r="N139" s="10"/>
      <c r="O139" s="10"/>
      <c r="P139" s="11"/>
      <c r="Q139" s="67"/>
    </row>
    <row r="140" spans="1:17" x14ac:dyDescent="0.2">
      <c r="A140" s="67"/>
      <c r="B140" s="12"/>
      <c r="C140" s="10"/>
      <c r="D140" s="10"/>
      <c r="E140" s="10"/>
      <c r="F140" s="10"/>
      <c r="G140" s="10"/>
      <c r="H140" s="11"/>
      <c r="I140" s="67"/>
      <c r="J140" s="12"/>
      <c r="K140" s="10" t="s">
        <v>118</v>
      </c>
      <c r="L140" s="10"/>
      <c r="M140" s="10"/>
      <c r="N140" s="10"/>
      <c r="O140" s="10"/>
      <c r="P140" s="11"/>
      <c r="Q140" s="67"/>
    </row>
    <row r="141" spans="1:17" x14ac:dyDescent="0.2">
      <c r="A141" s="67"/>
      <c r="B141" s="12"/>
      <c r="C141" s="10"/>
      <c r="D141" s="10"/>
      <c r="E141" s="10"/>
      <c r="F141" s="10"/>
      <c r="G141" s="10"/>
      <c r="H141" s="11"/>
      <c r="I141" s="67"/>
      <c r="J141" s="12"/>
      <c r="K141" s="10" t="s">
        <v>119</v>
      </c>
      <c r="L141" s="10"/>
      <c r="M141" s="10"/>
      <c r="N141" s="10"/>
      <c r="O141" s="10"/>
      <c r="P141" s="11"/>
      <c r="Q141" s="67"/>
    </row>
    <row r="142" spans="1:17" x14ac:dyDescent="0.2">
      <c r="A142" s="67"/>
      <c r="B142" s="12"/>
      <c r="C142" s="10"/>
      <c r="D142" s="10"/>
      <c r="E142" s="10"/>
      <c r="F142" s="10"/>
      <c r="G142" s="10"/>
      <c r="H142" s="11"/>
      <c r="I142" s="67"/>
      <c r="J142" s="12"/>
      <c r="K142" s="10" t="s">
        <v>120</v>
      </c>
      <c r="L142" s="10"/>
      <c r="M142" s="10"/>
      <c r="N142" s="10"/>
      <c r="O142" s="10"/>
      <c r="P142" s="11"/>
      <c r="Q142" s="67"/>
    </row>
    <row r="143" spans="1:17" x14ac:dyDescent="0.2">
      <c r="A143" s="67"/>
      <c r="B143" s="12"/>
      <c r="C143" s="10"/>
      <c r="D143" s="10"/>
      <c r="E143" s="10"/>
      <c r="F143" s="10"/>
      <c r="G143" s="10"/>
      <c r="H143" s="11"/>
      <c r="I143" s="67"/>
      <c r="J143" s="12"/>
      <c r="K143" s="10" t="s">
        <v>121</v>
      </c>
      <c r="L143" s="10"/>
      <c r="M143" s="10"/>
      <c r="N143" s="10"/>
      <c r="O143" s="10"/>
      <c r="P143" s="11"/>
      <c r="Q143" s="67"/>
    </row>
    <row r="144" spans="1:17" x14ac:dyDescent="0.2">
      <c r="A144" s="67"/>
      <c r="B144" s="12"/>
      <c r="C144" s="10"/>
      <c r="D144" s="10"/>
      <c r="E144" s="10"/>
      <c r="F144" s="10"/>
      <c r="G144" s="10"/>
      <c r="H144" s="11"/>
      <c r="I144" s="67"/>
      <c r="J144" s="12"/>
      <c r="K144" s="10"/>
      <c r="L144" s="10"/>
      <c r="M144" s="10"/>
      <c r="N144" s="10"/>
      <c r="O144" s="10"/>
      <c r="P144" s="11"/>
      <c r="Q144" s="67"/>
    </row>
    <row r="145" spans="1:17" x14ac:dyDescent="0.2">
      <c r="A145" s="67"/>
      <c r="B145" s="12"/>
      <c r="C145" s="10"/>
      <c r="D145" s="10"/>
      <c r="E145" s="10"/>
      <c r="F145" s="10"/>
      <c r="G145" s="10"/>
      <c r="H145" s="11"/>
      <c r="I145" s="67"/>
      <c r="J145" s="12"/>
      <c r="K145" s="10" t="s">
        <v>200</v>
      </c>
      <c r="L145" s="10"/>
      <c r="M145" s="10"/>
      <c r="N145" s="10"/>
      <c r="O145" s="10"/>
      <c r="P145" s="11"/>
      <c r="Q145" s="67"/>
    </row>
    <row r="146" spans="1:17" x14ac:dyDescent="0.2">
      <c r="A146" s="67"/>
      <c r="B146" s="12"/>
      <c r="C146" s="10"/>
      <c r="D146" s="10"/>
      <c r="E146" s="10"/>
      <c r="F146" s="10"/>
      <c r="G146" s="10"/>
      <c r="H146" s="11"/>
      <c r="I146" s="67"/>
      <c r="J146" s="12"/>
      <c r="K146" s="10" t="s">
        <v>201</v>
      </c>
      <c r="L146" s="10"/>
      <c r="M146" s="10"/>
      <c r="N146" s="10"/>
      <c r="O146" s="10"/>
      <c r="P146" s="11"/>
      <c r="Q146" s="67"/>
    </row>
    <row r="147" spans="1:17" x14ac:dyDescent="0.2">
      <c r="A147" s="67"/>
      <c r="B147" s="3"/>
      <c r="C147" s="4"/>
      <c r="D147" s="4"/>
      <c r="E147" s="4"/>
      <c r="F147" s="4"/>
      <c r="G147" s="4"/>
      <c r="H147" s="9"/>
      <c r="I147" s="67"/>
      <c r="J147" s="12"/>
      <c r="K147" s="10" t="s">
        <v>202</v>
      </c>
      <c r="L147" s="10"/>
      <c r="M147" s="10"/>
      <c r="N147" s="10"/>
      <c r="O147" s="10"/>
      <c r="P147" s="11"/>
      <c r="Q147" s="67"/>
    </row>
    <row r="148" spans="1:17" x14ac:dyDescent="0.2">
      <c r="A148" s="67"/>
      <c r="B148" s="67"/>
      <c r="C148" s="67"/>
      <c r="D148" s="67"/>
      <c r="E148" s="67"/>
      <c r="F148" s="67"/>
      <c r="G148" s="67"/>
      <c r="H148" s="67"/>
      <c r="I148" s="67"/>
      <c r="J148" s="12"/>
      <c r="K148" s="10" t="s">
        <v>203</v>
      </c>
      <c r="L148" s="10"/>
      <c r="M148" s="10"/>
      <c r="N148" s="10"/>
      <c r="O148" s="10"/>
      <c r="P148" s="11"/>
      <c r="Q148" s="67"/>
    </row>
    <row r="149" spans="1:17" x14ac:dyDescent="0.2">
      <c r="A149" s="67"/>
      <c r="B149" s="67"/>
      <c r="C149" s="67"/>
      <c r="D149" s="67"/>
      <c r="E149" s="67"/>
      <c r="F149" s="67"/>
      <c r="G149" s="67"/>
      <c r="H149" s="67"/>
      <c r="I149" s="67"/>
      <c r="J149" s="12"/>
      <c r="K149" s="10"/>
      <c r="L149" s="10"/>
      <c r="M149" s="10"/>
      <c r="N149" s="10"/>
      <c r="O149" s="10"/>
      <c r="P149" s="11"/>
      <c r="Q149" s="67"/>
    </row>
    <row r="150" spans="1:17" x14ac:dyDescent="0.2">
      <c r="A150" s="67"/>
      <c r="B150" s="67"/>
      <c r="C150" s="67"/>
      <c r="D150" s="67"/>
      <c r="E150" s="67"/>
      <c r="F150" s="67"/>
      <c r="G150" s="67"/>
      <c r="H150" s="67"/>
      <c r="I150" s="67"/>
      <c r="J150" s="12"/>
      <c r="K150" s="10"/>
      <c r="L150" s="10"/>
      <c r="M150" s="10"/>
      <c r="N150" s="10"/>
      <c r="O150" s="10"/>
      <c r="P150" s="11"/>
      <c r="Q150" s="67"/>
    </row>
    <row r="151" spans="1:17" x14ac:dyDescent="0.2">
      <c r="A151" s="67"/>
      <c r="B151" s="67"/>
      <c r="C151" s="67"/>
      <c r="D151" s="67"/>
      <c r="E151" s="67"/>
      <c r="F151" s="67"/>
      <c r="G151" s="67"/>
      <c r="H151" s="67"/>
      <c r="I151" s="67"/>
      <c r="J151" s="12"/>
      <c r="K151" s="10"/>
      <c r="L151" s="10"/>
      <c r="M151" s="10"/>
      <c r="N151" s="10"/>
      <c r="O151" s="10"/>
      <c r="P151" s="11"/>
      <c r="Q151" s="67"/>
    </row>
    <row r="152" spans="1:17" x14ac:dyDescent="0.2">
      <c r="A152" s="67"/>
      <c r="B152" s="67"/>
      <c r="C152" s="67"/>
      <c r="D152" s="67"/>
      <c r="E152" s="67"/>
      <c r="F152" s="67"/>
      <c r="G152" s="67"/>
      <c r="H152" s="67"/>
      <c r="I152" s="67"/>
      <c r="J152" s="12"/>
      <c r="K152" s="10"/>
      <c r="L152" s="10"/>
      <c r="M152" s="10"/>
      <c r="N152" s="10"/>
      <c r="O152" s="10"/>
      <c r="P152" s="11"/>
      <c r="Q152" s="67"/>
    </row>
    <row r="153" spans="1:17" x14ac:dyDescent="0.2">
      <c r="A153" s="67"/>
      <c r="B153" s="67"/>
      <c r="C153" s="67"/>
      <c r="D153" s="67"/>
      <c r="E153" s="67"/>
      <c r="F153" s="67"/>
      <c r="G153" s="67"/>
      <c r="H153" s="67"/>
      <c r="I153" s="67"/>
      <c r="J153" s="12"/>
      <c r="K153" s="10"/>
      <c r="L153" s="10"/>
      <c r="M153" s="10"/>
      <c r="N153" s="10"/>
      <c r="O153" s="10"/>
      <c r="P153" s="11"/>
      <c r="Q153" s="67"/>
    </row>
    <row r="154" spans="1:17" x14ac:dyDescent="0.2">
      <c r="A154" s="67"/>
      <c r="B154" s="67"/>
      <c r="C154" s="67"/>
      <c r="D154" s="67"/>
      <c r="E154" s="67"/>
      <c r="F154" s="67"/>
      <c r="G154" s="67"/>
      <c r="H154" s="67"/>
      <c r="I154" s="67"/>
      <c r="J154" s="12"/>
      <c r="K154" s="10"/>
      <c r="L154" s="10"/>
      <c r="M154" s="10"/>
      <c r="N154" s="10"/>
      <c r="O154" s="10"/>
      <c r="P154" s="11"/>
      <c r="Q154" s="67"/>
    </row>
    <row r="155" spans="1:17" x14ac:dyDescent="0.2">
      <c r="A155" s="67"/>
      <c r="B155" s="67"/>
      <c r="C155" s="67"/>
      <c r="D155" s="67"/>
      <c r="E155" s="67"/>
      <c r="F155" s="67"/>
      <c r="G155" s="67"/>
      <c r="H155" s="67"/>
      <c r="I155" s="67"/>
      <c r="J155" s="12"/>
      <c r="K155" s="10"/>
      <c r="L155" s="10"/>
      <c r="M155" s="10"/>
      <c r="N155" s="10"/>
      <c r="O155" s="10"/>
      <c r="P155" s="11"/>
      <c r="Q155" s="67"/>
    </row>
    <row r="156" spans="1:17" x14ac:dyDescent="0.2">
      <c r="A156" s="67"/>
      <c r="B156" s="67"/>
      <c r="C156" s="67"/>
      <c r="D156" s="67"/>
      <c r="E156" s="67"/>
      <c r="F156" s="67"/>
      <c r="G156" s="67"/>
      <c r="H156" s="67"/>
      <c r="I156" s="67"/>
      <c r="J156" s="12"/>
      <c r="K156" s="10"/>
      <c r="L156" s="10"/>
      <c r="M156" s="10"/>
      <c r="N156" s="10"/>
      <c r="O156" s="10"/>
      <c r="P156" s="11"/>
      <c r="Q156" s="67"/>
    </row>
    <row r="157" spans="1:17" x14ac:dyDescent="0.2">
      <c r="A157" s="67"/>
      <c r="B157" s="67"/>
      <c r="C157" s="67"/>
      <c r="D157" s="67"/>
      <c r="E157" s="67"/>
      <c r="F157" s="67"/>
      <c r="G157" s="67"/>
      <c r="H157" s="67"/>
      <c r="I157" s="67"/>
      <c r="J157" s="12"/>
      <c r="K157" s="10"/>
      <c r="L157" s="10"/>
      <c r="M157" s="10"/>
      <c r="N157" s="10"/>
      <c r="O157" s="10"/>
      <c r="P157" s="11"/>
      <c r="Q157" s="67"/>
    </row>
    <row r="158" spans="1:17" x14ac:dyDescent="0.2">
      <c r="A158" s="67"/>
      <c r="B158" s="67"/>
      <c r="C158" s="67"/>
      <c r="D158" s="67"/>
      <c r="E158" s="67"/>
      <c r="F158" s="67"/>
      <c r="G158" s="67"/>
      <c r="H158" s="67"/>
      <c r="I158" s="67"/>
      <c r="J158" s="12"/>
      <c r="K158" s="10"/>
      <c r="L158" s="10"/>
      <c r="M158" s="10"/>
      <c r="N158" s="10"/>
      <c r="O158" s="10"/>
      <c r="P158" s="11"/>
      <c r="Q158" s="67"/>
    </row>
    <row r="159" spans="1:17" x14ac:dyDescent="0.2">
      <c r="A159" s="67"/>
      <c r="B159" s="67"/>
      <c r="C159" s="67"/>
      <c r="D159" s="67"/>
      <c r="E159" s="67"/>
      <c r="F159" s="67"/>
      <c r="G159" s="67"/>
      <c r="H159" s="67"/>
      <c r="I159" s="67"/>
      <c r="J159" s="12"/>
      <c r="K159" s="10"/>
      <c r="L159" s="10"/>
      <c r="M159" s="10"/>
      <c r="N159" s="10"/>
      <c r="O159" s="10"/>
      <c r="P159" s="11"/>
      <c r="Q159" s="67"/>
    </row>
    <row r="160" spans="1:17" x14ac:dyDescent="0.2">
      <c r="A160" s="67"/>
      <c r="B160" s="67"/>
      <c r="C160" s="67"/>
      <c r="D160" s="67"/>
      <c r="E160" s="67"/>
      <c r="F160" s="67"/>
      <c r="G160" s="67"/>
      <c r="H160" s="67"/>
      <c r="I160" s="67"/>
      <c r="J160" s="12"/>
      <c r="K160" s="10"/>
      <c r="L160" s="10"/>
      <c r="M160" s="10"/>
      <c r="N160" s="10"/>
      <c r="O160" s="10"/>
      <c r="P160" s="11"/>
      <c r="Q160" s="67"/>
    </row>
    <row r="161" spans="1:17" x14ac:dyDescent="0.2">
      <c r="A161" s="67"/>
      <c r="B161" s="67"/>
      <c r="C161" s="67"/>
      <c r="D161" s="67"/>
      <c r="E161" s="67"/>
      <c r="F161" s="67"/>
      <c r="G161" s="67"/>
      <c r="H161" s="67"/>
      <c r="I161" s="67"/>
      <c r="J161" s="12"/>
      <c r="K161" s="10"/>
      <c r="L161" s="10"/>
      <c r="M161" s="10"/>
      <c r="N161" s="10"/>
      <c r="O161" s="10"/>
      <c r="P161" s="11"/>
      <c r="Q161" s="67"/>
    </row>
    <row r="162" spans="1:17" x14ac:dyDescent="0.2">
      <c r="A162" s="67"/>
      <c r="B162" s="67"/>
      <c r="C162" s="67"/>
      <c r="D162" s="67"/>
      <c r="E162" s="67"/>
      <c r="F162" s="67"/>
      <c r="G162" s="67"/>
      <c r="H162" s="67"/>
      <c r="I162" s="67"/>
      <c r="J162" s="3"/>
      <c r="K162" s="4"/>
      <c r="L162" s="4"/>
      <c r="M162" s="4"/>
      <c r="N162" s="4"/>
      <c r="O162" s="4"/>
      <c r="P162" s="9"/>
      <c r="Q162" s="67"/>
    </row>
    <row r="163" spans="1:17" x14ac:dyDescent="0.2">
      <c r="A163" s="67"/>
      <c r="B163" s="67"/>
      <c r="C163" s="67"/>
      <c r="D163" s="67"/>
      <c r="E163" s="67"/>
      <c r="F163" s="67"/>
      <c r="G163" s="67"/>
      <c r="H163" s="67"/>
      <c r="I163" s="67"/>
      <c r="J163" s="67"/>
      <c r="K163" s="67"/>
      <c r="L163" s="67"/>
      <c r="M163" s="67"/>
      <c r="N163" s="67"/>
      <c r="O163" s="67"/>
      <c r="P163" s="67"/>
      <c r="Q163" s="67"/>
    </row>
    <row r="164" spans="1:17" hidden="1" x14ac:dyDescent="0.2">
      <c r="A164" s="67"/>
      <c r="B164" s="67"/>
      <c r="C164" s="67"/>
      <c r="D164" s="67"/>
      <c r="E164" s="67"/>
      <c r="F164" s="67"/>
      <c r="G164" s="67"/>
      <c r="H164" s="67"/>
      <c r="I164" s="67"/>
      <c r="Q164" s="67"/>
    </row>
  </sheetData>
  <sheetProtection sheet="1" objects="1" scenarios="1"/>
  <mergeCells count="1">
    <mergeCell ref="C2:O2"/>
  </mergeCells>
  <hyperlinks>
    <hyperlink ref="C2" r:id="rId1" display="Find mere inspiration her:" xr:uid="{F9B5E694-19AA-41DA-B270-9E37BE02C86C}"/>
  </hyperlinks>
  <pageMargins left="0.23622047244094491" right="0.23622047244094491" top="0.19685039370078741" bottom="1.968503937007874E-2" header="0.31496062992125984" footer="0.31496062992125984"/>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Regneark</vt:lpstr>
      </vt:variant>
      <vt:variant>
        <vt:i4>13</vt:i4>
      </vt:variant>
      <vt:variant>
        <vt:lpstr>Navngivne områder</vt:lpstr>
      </vt:variant>
      <vt:variant>
        <vt:i4>7</vt:i4>
      </vt:variant>
    </vt:vector>
  </HeadingPairs>
  <TitlesOfParts>
    <vt:vector size="20" baseType="lpstr">
      <vt:lpstr>bagerkokken poolish</vt:lpstr>
      <vt:lpstr>Vito poolish</vt:lpstr>
      <vt:lpstr>Napoli</vt:lpstr>
      <vt:lpstr>Same day dough</vt:lpstr>
      <vt:lpstr>Diverse</vt:lpstr>
      <vt:lpstr>Tomatsauce</vt:lpstr>
      <vt:lpstr>Chili</vt:lpstr>
      <vt:lpstr>Biga</vt:lpstr>
      <vt:lpstr>Toppings</vt:lpstr>
      <vt:lpstr>Change log</vt:lpstr>
      <vt:lpstr>Bakers Yeast</vt:lpstr>
      <vt:lpstr>Sourdough</vt:lpstr>
      <vt:lpstr>Tips</vt:lpstr>
      <vt:lpstr>'bagerkokken poolish'!Udskriftsområde</vt:lpstr>
      <vt:lpstr>Chili!Udskriftsområde</vt:lpstr>
      <vt:lpstr>Napoli!Udskriftsområde</vt:lpstr>
      <vt:lpstr>'Same day dough'!Udskriftsområde</vt:lpstr>
      <vt:lpstr>Tomatsauce!Udskriftsområde</vt:lpstr>
      <vt:lpstr>Toppings!Udskriftsområde</vt:lpstr>
      <vt:lpstr>'Vito poolish'!Udskriftsområde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Kristensen, Torben</dc:creator>
  <cp:lastModifiedBy>Microsoft Office User</cp:lastModifiedBy>
  <cp:lastPrinted>2022-09-20T15:27:52Z</cp:lastPrinted>
  <dcterms:created xsi:type="dcterms:W3CDTF">2021-06-15T14:29:58Z</dcterms:created>
  <dcterms:modified xsi:type="dcterms:W3CDTF">2022-09-20T16:29:55Z</dcterms:modified>
</cp:coreProperties>
</file>